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2"/>
  <workbookPr defaultThemeVersion="166925"/>
  <xr:revisionPtr revIDLastSave="0" documentId="8_{2224339E-FC13-4E2F-8C7E-C7E93A94F8CB}" xr6:coauthVersionLast="46" xr6:coauthVersionMax="46" xr10:uidLastSave="{00000000-0000-0000-0000-000000000000}"/>
  <bookViews>
    <workbookView xWindow="240" yWindow="105" windowWidth="14805" windowHeight="8010" firstSheet="10" activeTab="10" xr2:uid="{00000000-000D-0000-FFFF-FFFF00000000}"/>
  </bookViews>
  <sheets>
    <sheet name="magazyn" sheetId="1" r:id="rId1"/>
    <sheet name="tarcica sosnowa" sheetId="2" r:id="rId2"/>
    <sheet name="tarcica dębowa" sheetId="3" r:id="rId3"/>
    <sheet name="płyta pilśniowa" sheetId="4" r:id="rId4"/>
    <sheet name="okleina dębowa" sheetId="5" r:id="rId5"/>
    <sheet name="okleina bukowa" sheetId="6" r:id="rId6"/>
    <sheet name="kartoteka towarowa" sheetId="8" r:id="rId7"/>
    <sheet name="7.11-7.12" sheetId="9" r:id="rId8"/>
    <sheet name="zapasy" sheetId="10" r:id="rId9"/>
    <sheet name="dynamika" sheetId="11" r:id="rId10"/>
    <sheet name="rejestr srodkow trwalych" sheetId="12" r:id="rId1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2" l="1"/>
  <c r="H4" i="12"/>
  <c r="H5" i="12"/>
  <c r="H3" i="12"/>
  <c r="M4" i="12"/>
  <c r="M5" i="12"/>
  <c r="M3" i="12"/>
  <c r="L4" i="12"/>
  <c r="L5" i="12"/>
  <c r="L3" i="12"/>
  <c r="K4" i="12"/>
  <c r="K5" i="12"/>
  <c r="K3" i="12"/>
  <c r="I6" i="12"/>
  <c r="H6" i="12"/>
  <c r="G6" i="12"/>
  <c r="F4" i="11"/>
  <c r="E4" i="11"/>
  <c r="D4" i="11"/>
  <c r="E13" i="10"/>
  <c r="D13" i="10"/>
  <c r="C13" i="10"/>
  <c r="D12" i="10"/>
  <c r="E12" i="10"/>
  <c r="E7" i="10"/>
  <c r="D7" i="10"/>
  <c r="C12" i="10"/>
  <c r="C7" i="10"/>
  <c r="B12" i="10"/>
  <c r="B7" i="10"/>
  <c r="E5" i="10"/>
  <c r="D5" i="10"/>
  <c r="C5" i="10"/>
  <c r="B5" i="10"/>
  <c r="O22" i="9"/>
  <c r="O23" i="9"/>
  <c r="O24" i="9"/>
  <c r="O25" i="9"/>
  <c r="O26" i="9"/>
  <c r="O27" i="9"/>
  <c r="O28" i="9"/>
  <c r="O31" i="9"/>
  <c r="O21" i="9"/>
  <c r="M22" i="9"/>
  <c r="M23" i="9"/>
  <c r="M24" i="9"/>
  <c r="M25" i="9"/>
  <c r="M26" i="9"/>
  <c r="M27" i="9"/>
  <c r="M28" i="9"/>
  <c r="M31" i="9"/>
  <c r="M21" i="9"/>
  <c r="E31" i="9"/>
  <c r="E14" i="9"/>
  <c r="I21" i="9"/>
  <c r="L31" i="9"/>
  <c r="K31" i="9"/>
  <c r="L22" i="9"/>
  <c r="L23" i="9"/>
  <c r="L24" i="9"/>
  <c r="L25" i="9"/>
  <c r="L26" i="9"/>
  <c r="L27" i="9"/>
  <c r="L28" i="9"/>
  <c r="L29" i="9"/>
  <c r="L30" i="9"/>
  <c r="K22" i="9"/>
  <c r="K23" i="9"/>
  <c r="K24" i="9"/>
  <c r="K25" i="9"/>
  <c r="K26" i="9"/>
  <c r="K27" i="9"/>
  <c r="K28" i="9"/>
  <c r="K29" i="9"/>
  <c r="K30" i="9"/>
  <c r="J22" i="9"/>
  <c r="J23" i="9"/>
  <c r="J24" i="9"/>
  <c r="J25" i="9"/>
  <c r="J26" i="9"/>
  <c r="J27" i="9"/>
  <c r="J28" i="9"/>
  <c r="J29" i="9"/>
  <c r="J30" i="9"/>
  <c r="I22" i="9"/>
  <c r="I23" i="9"/>
  <c r="I24" i="9"/>
  <c r="I25" i="9"/>
  <c r="I26" i="9"/>
  <c r="I27" i="9"/>
  <c r="I28" i="9"/>
  <c r="I29" i="9"/>
  <c r="I30" i="9"/>
  <c r="I31" i="9"/>
  <c r="L21" i="9"/>
  <c r="J21" i="9"/>
  <c r="K21" i="9"/>
  <c r="H31" i="9"/>
  <c r="G28" i="9"/>
  <c r="G27" i="9"/>
  <c r="G26" i="9"/>
  <c r="G25" i="9"/>
  <c r="G24" i="9"/>
  <c r="G23" i="9"/>
  <c r="G22" i="9"/>
  <c r="G21" i="9"/>
  <c r="G31" i="9" s="1"/>
  <c r="I4" i="9"/>
  <c r="J4" i="9"/>
  <c r="I5" i="9"/>
  <c r="J5" i="9"/>
  <c r="I6" i="9"/>
  <c r="J6" i="9"/>
  <c r="I7" i="9"/>
  <c r="J7" i="9"/>
  <c r="I8" i="9"/>
  <c r="J8" i="9"/>
  <c r="I9" i="9"/>
  <c r="J9" i="9"/>
  <c r="I10" i="9"/>
  <c r="J10" i="9"/>
  <c r="I11" i="9"/>
  <c r="J11" i="9"/>
  <c r="H14" i="9"/>
  <c r="G5" i="9"/>
  <c r="G6" i="9"/>
  <c r="G7" i="9"/>
  <c r="G8" i="9"/>
  <c r="G9" i="9"/>
  <c r="G10" i="9"/>
  <c r="G11" i="9"/>
  <c r="G4" i="9"/>
  <c r="G14" i="9" s="1"/>
  <c r="E4" i="8"/>
  <c r="G16" i="8"/>
  <c r="G11" i="8"/>
  <c r="G12" i="8"/>
  <c r="G13" i="8"/>
  <c r="G14" i="8"/>
  <c r="G15" i="8"/>
  <c r="G10" i="8"/>
  <c r="F16" i="8"/>
  <c r="E16" i="8"/>
  <c r="E4" i="6"/>
  <c r="B9" i="1"/>
  <c r="E16" i="4"/>
  <c r="F16" i="4"/>
  <c r="F16" i="5"/>
  <c r="E16" i="5"/>
  <c r="E16" i="6"/>
  <c r="F16" i="6"/>
  <c r="G16" i="6"/>
  <c r="G10" i="6"/>
  <c r="G11" i="6" s="1"/>
  <c r="G12" i="6" s="1"/>
  <c r="G13" i="6" s="1"/>
  <c r="G16" i="5"/>
  <c r="B8" i="1" s="1"/>
  <c r="G10" i="5"/>
  <c r="G11" i="5" s="1"/>
  <c r="G12" i="5" s="1"/>
  <c r="G13" i="5" s="1"/>
  <c r="E4" i="5"/>
  <c r="G16" i="4"/>
  <c r="B7" i="1" s="1"/>
  <c r="G11" i="4"/>
  <c r="G12" i="4"/>
  <c r="G13" i="4"/>
  <c r="G14" i="4"/>
  <c r="E4" i="4"/>
  <c r="E4" i="3"/>
  <c r="G10" i="4"/>
  <c r="G15" i="3"/>
  <c r="B6" i="1" s="1"/>
  <c r="G11" i="3"/>
  <c r="G10" i="3"/>
  <c r="G12" i="3"/>
  <c r="G9" i="3"/>
  <c r="B5" i="1"/>
  <c r="E4" i="2"/>
  <c r="G16" i="2"/>
  <c r="F16" i="2"/>
  <c r="E16" i="2"/>
  <c r="G10" i="2"/>
  <c r="G11" i="2"/>
  <c r="G12" i="2" s="1"/>
  <c r="G13" i="2" s="1"/>
  <c r="E5" i="1"/>
  <c r="E9" i="1"/>
  <c r="E8" i="1"/>
  <c r="E7" i="1"/>
  <c r="E6" i="1"/>
  <c r="J31" i="9" l="1"/>
</calcChain>
</file>

<file path=xl/sharedStrings.xml><?xml version="1.0" encoding="utf-8"?>
<sst xmlns="http://schemas.openxmlformats.org/spreadsheetml/2006/main" count="318" uniqueCount="131">
  <si>
    <t>EWIDENCJA MAGAZYNOWA</t>
  </si>
  <si>
    <t xml:space="preserve">           Magazyn nr. 1</t>
  </si>
  <si>
    <t xml:space="preserve">    materiał</t>
  </si>
  <si>
    <t xml:space="preserve">    ilość</t>
  </si>
  <si>
    <t>jednostka</t>
  </si>
  <si>
    <t>cena jednostkowa w (zł)</t>
  </si>
  <si>
    <t>wartość (zł)</t>
  </si>
  <si>
    <t>tarcica sosnowa</t>
  </si>
  <si>
    <t>m3</t>
  </si>
  <si>
    <t>tarcica dębowa</t>
  </si>
  <si>
    <t>płyta pilśniowa</t>
  </si>
  <si>
    <t>szt</t>
  </si>
  <si>
    <t>okleina dębowa</t>
  </si>
  <si>
    <t>m2</t>
  </si>
  <si>
    <t>okleina bukowa</t>
  </si>
  <si>
    <t>KARTOTEKA MATERIAŁOWA</t>
  </si>
  <si>
    <t>Symbol materiału M-10320</t>
  </si>
  <si>
    <t>Nr. magazynu: 01</t>
  </si>
  <si>
    <t>Okres</t>
  </si>
  <si>
    <t>TARCICA SOSNOWA</t>
  </si>
  <si>
    <t>Zużycie</t>
  </si>
  <si>
    <t>Jenostka</t>
  </si>
  <si>
    <t>Data</t>
  </si>
  <si>
    <t>Dowód</t>
  </si>
  <si>
    <t>Treść</t>
  </si>
  <si>
    <t>Przychód</t>
  </si>
  <si>
    <t>Rozchód</t>
  </si>
  <si>
    <t>Stan</t>
  </si>
  <si>
    <t>dzień-miesiąc</t>
  </si>
  <si>
    <t>symbol</t>
  </si>
  <si>
    <t>numer</t>
  </si>
  <si>
    <t>stan początkowy</t>
  </si>
  <si>
    <t>RW</t>
  </si>
  <si>
    <t>produkcja</t>
  </si>
  <si>
    <t>PZ</t>
  </si>
  <si>
    <t>tartak</t>
  </si>
  <si>
    <t>prdukcja</t>
  </si>
  <si>
    <t>SUMA</t>
  </si>
  <si>
    <t>KARTOTEKA MAGAZYNOWA</t>
  </si>
  <si>
    <t>Symbol M-10321</t>
  </si>
  <si>
    <t>Nr. magazyny: 02</t>
  </si>
  <si>
    <t>TARCICA DĘBOWA</t>
  </si>
  <si>
    <t xml:space="preserve">Jednostka </t>
  </si>
  <si>
    <t>Symbol materiału M-10322</t>
  </si>
  <si>
    <t>Nr. magazynu: 03</t>
  </si>
  <si>
    <t>PŁYTA PILŚNIOWA</t>
  </si>
  <si>
    <t>magazyn</t>
  </si>
  <si>
    <t>Symbol materiału l M-10323</t>
  </si>
  <si>
    <t>OKLEINA DĘBOWA</t>
  </si>
  <si>
    <t>Symbol materiału l M-10324</t>
  </si>
  <si>
    <t>OKLEINA BUKOWA</t>
  </si>
  <si>
    <t>KARTOTEKA TOWAROWA</t>
  </si>
  <si>
    <t>Symbol Towaru M1</t>
  </si>
  <si>
    <t>KOSZULKI CZARNE ROZM. M</t>
  </si>
  <si>
    <t>DO SPRZEDAŻY</t>
  </si>
  <si>
    <t>WZ</t>
  </si>
  <si>
    <t>SPRZEDAŻ</t>
  </si>
  <si>
    <t>Poz.</t>
  </si>
  <si>
    <t>Kod</t>
  </si>
  <si>
    <t>Nazwa</t>
  </si>
  <si>
    <t>J.M</t>
  </si>
  <si>
    <t>Ustalona ilość</t>
  </si>
  <si>
    <t>Cena jedn.</t>
  </si>
  <si>
    <t>Wartość</t>
  </si>
  <si>
    <t>Ilość w ewidencji</t>
  </si>
  <si>
    <t>Różnice inwentaryzacyjne</t>
  </si>
  <si>
    <t>ilość</t>
  </si>
  <si>
    <t>zł</t>
  </si>
  <si>
    <t>szt.</t>
  </si>
  <si>
    <t>KC-001</t>
  </si>
  <si>
    <t>Róża czerwona</t>
  </si>
  <si>
    <t>KC-002</t>
  </si>
  <si>
    <t>Róża biała</t>
  </si>
  <si>
    <t>KC-003</t>
  </si>
  <si>
    <t>Róża żółta</t>
  </si>
  <si>
    <t>KC-004</t>
  </si>
  <si>
    <t>Tulipan czerwony</t>
  </si>
  <si>
    <t>KC-005</t>
  </si>
  <si>
    <t>Tulipan żółty</t>
  </si>
  <si>
    <t>KC-006</t>
  </si>
  <si>
    <t>Goździk</t>
  </si>
  <si>
    <t>KC-007</t>
  </si>
  <si>
    <t>Lilia</t>
  </si>
  <si>
    <t>KC-008</t>
  </si>
  <si>
    <t>Słonecznik</t>
  </si>
  <si>
    <t>Niedobór</t>
  </si>
  <si>
    <t>Nadwyża</t>
  </si>
  <si>
    <t>Struktura zapasów</t>
  </si>
  <si>
    <t>ilościowa</t>
  </si>
  <si>
    <t>wartościowa</t>
  </si>
  <si>
    <t>Udział zapasów nadmiernych w strukturze zapasów w roku obrotowym</t>
  </si>
  <si>
    <t>Kwartał</t>
  </si>
  <si>
    <t xml:space="preserve"> I</t>
  </si>
  <si>
    <t>II</t>
  </si>
  <si>
    <t xml:space="preserve"> III</t>
  </si>
  <si>
    <t>IV</t>
  </si>
  <si>
    <t>Stan zapasów</t>
  </si>
  <si>
    <t>Zapas maksymalny</t>
  </si>
  <si>
    <t>Zapas nadmierny</t>
  </si>
  <si>
    <t xml:space="preserve">WSKAŹNIK STRUKTURY </t>
  </si>
  <si>
    <t>Dynamika udziału zapasów nadmiernych w strukturze zapasów w roku obrotowym</t>
  </si>
  <si>
    <t>kwartał I</t>
  </si>
  <si>
    <t>kwartał II</t>
  </si>
  <si>
    <t>kwartał III</t>
  </si>
  <si>
    <t>kwartał IV</t>
  </si>
  <si>
    <t xml:space="preserve">zapasy nadmierne </t>
  </si>
  <si>
    <t>WSKAŹNIK DYNAMIKI</t>
  </si>
  <si>
    <t xml:space="preserve">Dynamika zapasów w roku obrotowym </t>
  </si>
  <si>
    <t xml:space="preserve">kwartał III </t>
  </si>
  <si>
    <t xml:space="preserve">Stan zapasów </t>
  </si>
  <si>
    <t>Wskażnik dynamiki</t>
  </si>
  <si>
    <t xml:space="preserve">                                                                                                           REJESTR ŚRODKÓW TRWAŁYCH                                                        DATA                   </t>
  </si>
  <si>
    <t>Grupa</t>
  </si>
  <si>
    <t>Rodzaj</t>
  </si>
  <si>
    <t>Nr. Inwentarzowy</t>
  </si>
  <si>
    <t>Data przyjęcia</t>
  </si>
  <si>
    <t>Stawka amortyzacji</t>
  </si>
  <si>
    <t>Wartość początkowa</t>
  </si>
  <si>
    <t>Umorzenie</t>
  </si>
  <si>
    <t>Wartość aktualna</t>
  </si>
  <si>
    <t>% umorzenia</t>
  </si>
  <si>
    <t>ilość misięcy użytkowania</t>
  </si>
  <si>
    <t>okres amortzacji w m-c</t>
  </si>
  <si>
    <t>Koniec amortyzacji</t>
  </si>
  <si>
    <t>101/003/2015</t>
  </si>
  <si>
    <t>Hala produkcyjna</t>
  </si>
  <si>
    <t>104/005/2014</t>
  </si>
  <si>
    <t>Budynek magazynowy</t>
  </si>
  <si>
    <t>105/001/2008</t>
  </si>
  <si>
    <t>Budynek biurowy</t>
  </si>
  <si>
    <t>Suma gr.1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</si>
</sst>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zł&quot;;[Red]\-#,##0\ &quot;zł&quot;"/>
    <numFmt numFmtId="43" formatCode="_-* #,##0.00\ _z_ł_-;\-* #,##0.00\ _z_ł_-;_-* &quot;-&quot;??\ _z_ł_-;_-@_-"/>
    <numFmt numFmtId="164" formatCode="[$-F400]h:mm:ss\ AM/PM"/>
    <numFmt numFmtId="165" formatCode="d\-mm;@"/>
    <numFmt numFmtId="166" formatCode="0.00_ ;[Red]\-0.00\ "/>
    <numFmt numFmtId="167" formatCode="0_ ;[Red]\-0\ "/>
    <numFmt numFmtId="168" formatCode="0;[Red]0"/>
    <numFmt numFmtId="169" formatCode="0.0_ ;[Red]\-0.0\ "/>
    <numFmt numFmtId="170" formatCode="yyyy\-mm\-dd;@"/>
    <numFmt numFmtId="171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0" applyNumberFormat="1" applyBorder="1"/>
    <xf numFmtId="43" fontId="0" fillId="0" borderId="2" xfId="0" applyNumberFormat="1" applyBorder="1"/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2" xfId="0" applyFill="1" applyBorder="1"/>
    <xf numFmtId="0" fontId="0" fillId="3" borderId="10" xfId="0" applyFill="1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0" fontId="0" fillId="3" borderId="5" xfId="0" applyFill="1" applyBorder="1"/>
    <xf numFmtId="0" fontId="0" fillId="3" borderId="14" xfId="0" applyFill="1" applyBorder="1"/>
    <xf numFmtId="0" fontId="0" fillId="3" borderId="9" xfId="0" applyFill="1" applyBorder="1"/>
    <xf numFmtId="0" fontId="1" fillId="0" borderId="1" xfId="0" applyFont="1" applyBorder="1"/>
    <xf numFmtId="0" fontId="1" fillId="0" borderId="8" xfId="0" applyFont="1" applyBorder="1" applyAlignment="1">
      <alignment vertical="center"/>
    </xf>
    <xf numFmtId="0" fontId="1" fillId="0" borderId="12" xfId="0" applyFont="1" applyBorder="1"/>
    <xf numFmtId="164" fontId="0" fillId="0" borderId="12" xfId="0" applyNumberFormat="1" applyBorder="1" applyAlignment="1">
      <alignment horizontal="right" vertical="center"/>
    </xf>
    <xf numFmtId="0" fontId="0" fillId="0" borderId="5" xfId="0" applyBorder="1"/>
    <xf numFmtId="165" fontId="0" fillId="0" borderId="10" xfId="0" applyNumberFormat="1" applyBorder="1"/>
    <xf numFmtId="165" fontId="0" fillId="0" borderId="2" xfId="0" applyNumberFormat="1" applyBorder="1"/>
    <xf numFmtId="11" fontId="0" fillId="0" borderId="10" xfId="0" applyNumberFormat="1" applyFont="1" applyBorder="1" applyAlignment="1">
      <alignment horizontal="right"/>
    </xf>
    <xf numFmtId="0" fontId="0" fillId="0" borderId="13" xfId="0" applyBorder="1"/>
    <xf numFmtId="0" fontId="1" fillId="0" borderId="10" xfId="0" applyFont="1" applyBorder="1"/>
    <xf numFmtId="0" fontId="1" fillId="0" borderId="11" xfId="0" applyFont="1" applyBorder="1"/>
    <xf numFmtId="0" fontId="1" fillId="0" borderId="15" xfId="0" applyFont="1" applyBorder="1"/>
    <xf numFmtId="11" fontId="0" fillId="0" borderId="12" xfId="0" applyNumberFormat="1" applyBorder="1" applyAlignment="1">
      <alignment horizontal="right" vertical="center"/>
    </xf>
    <xf numFmtId="165" fontId="0" fillId="0" borderId="5" xfId="0" applyNumberFormat="1" applyBorder="1"/>
    <xf numFmtId="0" fontId="0" fillId="0" borderId="11" xfId="0" applyBorder="1"/>
    <xf numFmtId="0" fontId="0" fillId="0" borderId="5" xfId="0" applyBorder="1" applyAlignment="1">
      <alignment horizontal="center"/>
    </xf>
    <xf numFmtId="0" fontId="0" fillId="3" borderId="13" xfId="0" applyFill="1" applyBorder="1"/>
    <xf numFmtId="0" fontId="0" fillId="0" borderId="16" xfId="0" applyBorder="1"/>
    <xf numFmtId="0" fontId="0" fillId="4" borderId="16" xfId="0" applyFill="1" applyBorder="1"/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/>
    <xf numFmtId="0" fontId="7" fillId="4" borderId="16" xfId="0" applyFont="1" applyFill="1" applyBorder="1"/>
    <xf numFmtId="2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/>
    <xf numFmtId="0" fontId="0" fillId="0" borderId="19" xfId="0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vertical="center"/>
    </xf>
    <xf numFmtId="167" fontId="0" fillId="0" borderId="16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0" fontId="0" fillId="0" borderId="16" xfId="0" applyNumberFormat="1" applyBorder="1" applyAlignment="1">
      <alignment vertical="center"/>
    </xf>
    <xf numFmtId="0" fontId="0" fillId="5" borderId="16" xfId="0" applyFill="1" applyBorder="1"/>
    <xf numFmtId="10" fontId="0" fillId="0" borderId="16" xfId="0" applyNumberFormat="1" applyBorder="1"/>
    <xf numFmtId="6" fontId="0" fillId="0" borderId="16" xfId="0" applyNumberFormat="1" applyBorder="1" applyAlignment="1">
      <alignment horizontal="center"/>
    </xf>
    <xf numFmtId="0" fontId="0" fillId="5" borderId="16" xfId="0" applyFill="1" applyBorder="1" applyAlignment="1">
      <alignment horizontal="center"/>
    </xf>
    <xf numFmtId="2" fontId="0" fillId="0" borderId="16" xfId="0" applyNumberFormat="1" applyBorder="1"/>
    <xf numFmtId="0" fontId="0" fillId="0" borderId="0" xfId="0" applyAlignment="1"/>
    <xf numFmtId="6" fontId="0" fillId="0" borderId="16" xfId="0" applyNumberFormat="1" applyBorder="1"/>
    <xf numFmtId="0" fontId="0" fillId="0" borderId="0" xfId="0" applyBorder="1"/>
    <xf numFmtId="170" fontId="0" fillId="0" borderId="0" xfId="0" applyNumberFormat="1" applyBorder="1"/>
    <xf numFmtId="171" fontId="0" fillId="0" borderId="0" xfId="0" applyNumberFormat="1" applyBorder="1"/>
    <xf numFmtId="4" fontId="0" fillId="0" borderId="0" xfId="0" applyNumberFormat="1" applyBorder="1"/>
    <xf numFmtId="10" fontId="0" fillId="0" borderId="0" xfId="0" applyNumberFormat="1" applyBorder="1"/>
    <xf numFmtId="0" fontId="0" fillId="6" borderId="0" xfId="0" applyFill="1" applyBorder="1"/>
    <xf numFmtId="170" fontId="1" fillId="0" borderId="0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6" borderId="0" xfId="0" applyNumberFormat="1" applyFont="1" applyFill="1" applyBorder="1"/>
    <xf numFmtId="10" fontId="1" fillId="6" borderId="0" xfId="0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6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0" fontId="0" fillId="0" borderId="16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6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ny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ILOŚCIOWA STRUKTURA ZAPASÓW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/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C0-4614-9620-82071E4B7D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C0-4614-9620-82071E4B7D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C0-4614-9620-82071E4B7D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C0-4614-9620-82071E4B7D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C0-4614-9620-82071E4B7D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8C0-4614-9620-82071E4B7D7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8C0-4614-9620-82071E4B7D7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8C0-4614-9620-82071E4B7D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'7.11-7.12'!$M$21:$M$28</c:f>
              <c:numCache>
                <c:formatCode>0.00%</c:formatCode>
                <c:ptCount val="8"/>
                <c:pt idx="0">
                  <c:v>0.16911764705882354</c:v>
                </c:pt>
                <c:pt idx="1">
                  <c:v>0.11363636363636363</c:v>
                </c:pt>
                <c:pt idx="2">
                  <c:v>7.4866310160427801E-2</c:v>
                </c:pt>
                <c:pt idx="3">
                  <c:v>0.22794117647058823</c:v>
                </c:pt>
                <c:pt idx="4">
                  <c:v>0.12366310160427807</c:v>
                </c:pt>
                <c:pt idx="5">
                  <c:v>0.20053475935828877</c:v>
                </c:pt>
                <c:pt idx="6">
                  <c:v>5.0133689839572192E-2</c:v>
                </c:pt>
                <c:pt idx="7">
                  <c:v>4.0106951871657755E-2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B82-47C3-B8D8-5AC77CD523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WARTOŚCIOWA STRUKTURA ZAPASÓW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/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3B-4B4D-BB81-1098B50208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3B-4B4D-BB81-1098B50208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3B-4B4D-BB81-1098B50208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3B-4B4D-BB81-1098B50208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3B-4B4D-BB81-1098B50208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3B-4B4D-BB81-1098B50208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C3B-4B4D-BB81-1098B50208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C3B-4B4D-BB81-1098B50208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'7.11-7.12'!$O$21:$O$28</c:f>
              <c:numCache>
                <c:formatCode>0.00%</c:formatCode>
                <c:ptCount val="8"/>
                <c:pt idx="0">
                  <c:v>0.20389523169912693</c:v>
                </c:pt>
                <c:pt idx="1">
                  <c:v>0.13700470114170585</c:v>
                </c:pt>
                <c:pt idx="2">
                  <c:v>9.0261920752182673E-2</c:v>
                </c:pt>
                <c:pt idx="3">
                  <c:v>0.229012760241773</c:v>
                </c:pt>
                <c:pt idx="4">
                  <c:v>0.12424445936870383</c:v>
                </c:pt>
                <c:pt idx="5">
                  <c:v>8.0591000671591667E-2</c:v>
                </c:pt>
                <c:pt idx="6">
                  <c:v>7.0517125587642712E-2</c:v>
                </c:pt>
                <c:pt idx="7">
                  <c:v>6.4472800537273334E-2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A-4304-A2E9-982C6554BF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Zapasy nadmierne w strukturze zapasów w 2018 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Zapas nadmierny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zapasy!$B$7:$E$7</c:f>
              <c:numCache>
                <c:formatCode>0.00%</c:formatCode>
                <c:ptCount val="4"/>
                <c:pt idx="0">
                  <c:v>0.33333333333333331</c:v>
                </c:pt>
                <c:pt idx="1">
                  <c:v>0.2857142857142857</c:v>
                </c:pt>
                <c:pt idx="2">
                  <c:v>0.16666666666666666</c:v>
                </c:pt>
                <c:pt idx="3">
                  <c:v>3.8461538461538464E-2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8-489A-8CB6-23B561102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624152"/>
        <c:axId val="1667804967"/>
      </c:lineChart>
      <c:catAx>
        <c:axId val="2037624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7804967"/>
        <c:crosses val="autoZero"/>
        <c:auto val="1"/>
        <c:lblAlgn val="ctr"/>
        <c:lblOffset val="100"/>
        <c:noMultiLvlLbl val="0"/>
      </c:catAx>
      <c:valAx>
        <c:axId val="1667804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62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 zapasów w 2018 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Stan zapsów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dynamika!$C$2:$F$2</c:f>
              <c:strCache>
                <c:ptCount val="4"/>
                <c:pt idx="0">
                  <c:v>kwartał I</c:v>
                </c:pt>
                <c:pt idx="1">
                  <c:v>kwartał II</c:v>
                </c:pt>
                <c:pt idx="2">
                  <c:v>kwartał III </c:v>
                </c:pt>
                <c:pt idx="3">
                  <c:v>kwartał IV</c:v>
                </c:pt>
              </c:strCache>
            </c:strRef>
          </c:cat>
          <c:val>
            <c:numRef>
              <c:f>dynamika!$C$3:$F$3</c:f>
              <c:numCache>
                <c:formatCode>"zł"#,##0_);[Red]\("zł"#,##0\)</c:formatCode>
                <c:ptCount val="4"/>
                <c:pt idx="0">
                  <c:v>75000</c:v>
                </c:pt>
                <c:pt idx="1">
                  <c:v>70000</c:v>
                </c:pt>
                <c:pt idx="2">
                  <c:v>60000</c:v>
                </c:pt>
                <c:pt idx="3">
                  <c:v>52000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E1-4F66-9C4A-10DC71F14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777496"/>
        <c:axId val="1414354967"/>
      </c:lineChart>
      <c:catAx>
        <c:axId val="201177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4354967"/>
        <c:crosses val="autoZero"/>
        <c:auto val="1"/>
        <c:lblAlgn val="ctr"/>
        <c:lblOffset val="100"/>
        <c:noMultiLvlLbl val="0"/>
      </c:catAx>
      <c:valAx>
        <c:axId val="1414354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_);[Red]\(&quot;zł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77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34</xdr:row>
      <xdr:rowOff>9525</xdr:rowOff>
    </xdr:from>
    <xdr:to>
      <xdr:col>13</xdr:col>
      <xdr:colOff>85725</xdr:colOff>
      <xdr:row>48</xdr:row>
      <xdr:rowOff>114300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F85F3CF2-AF91-432B-B206-CEFB53CBE7A3}"/>
            </a:ext>
            <a:ext uri="{147F2762-F138-4A5C-976F-8EAC2B608ADB}">
              <a16:predDERef xmlns:a16="http://schemas.microsoft.com/office/drawing/2014/main" pred="{5787C28E-9D46-49A9-B5DF-EC11F3A5E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33</xdr:row>
      <xdr:rowOff>171450</xdr:rowOff>
    </xdr:from>
    <xdr:to>
      <xdr:col>6</xdr:col>
      <xdr:colOff>704850</xdr:colOff>
      <xdr:row>48</xdr:row>
      <xdr:rowOff>161925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AC589B1B-0E1E-43AF-8A23-CBBA66B38BA2}"/>
            </a:ext>
            <a:ext uri="{147F2762-F138-4A5C-976F-8EAC2B608ADB}">
              <a16:predDERef xmlns:a16="http://schemas.microsoft.com/office/drawing/2014/main" pred="{F85F3CF2-AF91-432B-B206-CEFB53CBE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219075</xdr:rowOff>
    </xdr:from>
    <xdr:to>
      <xdr:col>13</xdr:col>
      <xdr:colOff>590550</xdr:colOff>
      <xdr:row>10</xdr:row>
      <xdr:rowOff>38100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7DB4C331-5D52-41B4-9345-D86B8EC1F1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104775</xdr:rowOff>
    </xdr:from>
    <xdr:to>
      <xdr:col>14</xdr:col>
      <xdr:colOff>228600</xdr:colOff>
      <xdr:row>12</xdr:row>
      <xdr:rowOff>9525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7D1E9B24-FB57-4E34-891B-E17F7FB2D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workbookViewId="0">
      <selection activeCell="B10" sqref="B10"/>
    </sheetView>
  </sheetViews>
  <sheetFormatPr defaultRowHeight="15"/>
  <cols>
    <col min="1" max="1" width="16" customWidth="1"/>
    <col min="2" max="2" width="10" customWidth="1"/>
    <col min="3" max="3" width="10.140625" customWidth="1"/>
    <col min="4" max="4" width="18" customWidth="1"/>
    <col min="5" max="5" width="13.5703125" customWidth="1"/>
  </cols>
  <sheetData>
    <row r="1" spans="1:5" ht="17.25" customHeight="1">
      <c r="A1" s="96" t="s">
        <v>0</v>
      </c>
      <c r="B1" s="97"/>
      <c r="C1" s="97"/>
      <c r="D1" s="97"/>
      <c r="E1" s="98"/>
    </row>
    <row r="2" spans="1:5" ht="17.25" customHeight="1">
      <c r="A2" s="99"/>
      <c r="B2" s="100"/>
      <c r="C2" s="100"/>
      <c r="D2" s="100"/>
      <c r="E2" s="101"/>
    </row>
    <row r="3" spans="1:5" ht="18.75" customHeight="1">
      <c r="A3" s="2" t="s">
        <v>1</v>
      </c>
      <c r="B3" s="4"/>
      <c r="C3" s="2"/>
      <c r="D3" s="2"/>
      <c r="E3" s="2"/>
    </row>
    <row r="4" spans="1:5" ht="48" customHeight="1">
      <c r="A4" s="10" t="s">
        <v>2</v>
      </c>
      <c r="B4" s="11" t="s">
        <v>3</v>
      </c>
      <c r="C4" s="11" t="s">
        <v>4</v>
      </c>
      <c r="D4" s="12" t="s">
        <v>5</v>
      </c>
      <c r="E4" s="11" t="s">
        <v>6</v>
      </c>
    </row>
    <row r="5" spans="1:5" ht="18" customHeight="1">
      <c r="A5" s="2" t="s">
        <v>7</v>
      </c>
      <c r="B5" s="5">
        <f>'tarcica sosnowa'!G16</f>
        <v>58</v>
      </c>
      <c r="C5" s="7" t="s">
        <v>8</v>
      </c>
      <c r="D5" s="8">
        <v>1000</v>
      </c>
      <c r="E5" s="8">
        <f>B5*D5</f>
        <v>58000</v>
      </c>
    </row>
    <row r="6" spans="1:5" ht="17.25" customHeight="1">
      <c r="A6" s="2" t="s">
        <v>9</v>
      </c>
      <c r="B6" s="6">
        <f>'tarcica dębowa'!G15</f>
        <v>23</v>
      </c>
      <c r="C6" s="6" t="s">
        <v>8</v>
      </c>
      <c r="D6" s="9">
        <v>2000</v>
      </c>
      <c r="E6" s="9">
        <f>B6*D6</f>
        <v>46000</v>
      </c>
    </row>
    <row r="7" spans="1:5" ht="17.25" customHeight="1">
      <c r="A7" s="2" t="s">
        <v>10</v>
      </c>
      <c r="B7" s="7">
        <f>'płyta pilśniowa'!G16</f>
        <v>39</v>
      </c>
      <c r="C7" s="7" t="s">
        <v>11</v>
      </c>
      <c r="D7" s="8">
        <v>32.5</v>
      </c>
      <c r="E7" s="8">
        <f>B7*D7</f>
        <v>1267.5</v>
      </c>
    </row>
    <row r="8" spans="1:5" ht="17.25" customHeight="1">
      <c r="A8" s="1" t="s">
        <v>12</v>
      </c>
      <c r="B8" s="7">
        <f>'okleina dębowa'!G16</f>
        <v>52</v>
      </c>
      <c r="C8" s="7" t="s">
        <v>13</v>
      </c>
      <c r="D8" s="8">
        <v>28</v>
      </c>
      <c r="E8" s="8">
        <f>B8*D8</f>
        <v>1456</v>
      </c>
    </row>
    <row r="9" spans="1:5" ht="16.5" customHeight="1">
      <c r="A9" s="3" t="s">
        <v>14</v>
      </c>
      <c r="B9" s="7">
        <f>'okleina bukowa'!G16</f>
        <v>13</v>
      </c>
      <c r="C9" s="7" t="s">
        <v>13</v>
      </c>
      <c r="D9" s="8">
        <v>14</v>
      </c>
      <c r="E9" s="8">
        <f>B9*D9</f>
        <v>182</v>
      </c>
    </row>
  </sheetData>
  <mergeCells count="1">
    <mergeCell ref="A1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ABBC3-9907-4B24-91CF-7C754582D361}">
  <dimension ref="A1:G4"/>
  <sheetViews>
    <sheetView workbookViewId="0">
      <selection activeCell="C2" sqref="C2:F3"/>
    </sheetView>
  </sheetViews>
  <sheetFormatPr defaultRowHeight="15"/>
  <cols>
    <col min="1" max="1" width="17.5703125" customWidth="1"/>
    <col min="2" max="2" width="16.5703125" customWidth="1"/>
    <col min="3" max="3" width="12" customWidth="1"/>
    <col min="4" max="4" width="13.85546875" customWidth="1"/>
    <col min="5" max="5" width="12.5703125" customWidth="1"/>
    <col min="6" max="6" width="13.7109375" customWidth="1"/>
  </cols>
  <sheetData>
    <row r="1" spans="1:7" ht="29.25" customHeight="1">
      <c r="A1" s="150" t="s">
        <v>107</v>
      </c>
      <c r="B1" s="150"/>
      <c r="C1" s="150"/>
      <c r="D1" s="150"/>
      <c r="E1" s="150"/>
      <c r="F1" s="150"/>
      <c r="G1" s="69"/>
    </row>
    <row r="2" spans="1:7" ht="21" customHeight="1">
      <c r="A2" s="42"/>
      <c r="B2" s="94" t="s">
        <v>31</v>
      </c>
      <c r="C2" s="94" t="s">
        <v>101</v>
      </c>
      <c r="D2" s="94" t="s">
        <v>102</v>
      </c>
      <c r="E2" s="94" t="s">
        <v>108</v>
      </c>
      <c r="F2" s="94" t="s">
        <v>104</v>
      </c>
    </row>
    <row r="3" spans="1:7" ht="25.5" customHeight="1">
      <c r="A3" s="42" t="s">
        <v>109</v>
      </c>
      <c r="B3" s="70">
        <v>65000</v>
      </c>
      <c r="C3" s="70">
        <v>75000</v>
      </c>
      <c r="D3" s="70">
        <v>70000</v>
      </c>
      <c r="E3" s="70">
        <v>60000</v>
      </c>
      <c r="F3" s="70">
        <v>52000</v>
      </c>
    </row>
    <row r="4" spans="1:7" ht="27.75" customHeight="1">
      <c r="A4" s="42" t="s">
        <v>110</v>
      </c>
      <c r="B4" s="43"/>
      <c r="C4" s="70"/>
      <c r="D4" s="65">
        <f>(D3/C3)*100%</f>
        <v>0.93333333333333335</v>
      </c>
      <c r="E4" s="65">
        <f>(E3/D3)*100%</f>
        <v>0.8571428571428571</v>
      </c>
      <c r="F4" s="65">
        <f>(F3/E3)*100%</f>
        <v>0.8666666666666667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0B01-3614-4A96-889E-D11F9448C6D2}">
  <dimension ref="A1:M6"/>
  <sheetViews>
    <sheetView tabSelected="1" workbookViewId="0">
      <selection activeCell="K11" sqref="K11"/>
    </sheetView>
  </sheetViews>
  <sheetFormatPr defaultRowHeight="15"/>
  <cols>
    <col min="1" max="1" width="8" customWidth="1"/>
    <col min="2" max="2" width="10.42578125" customWidth="1"/>
    <col min="3" max="3" width="13.140625" customWidth="1"/>
    <col min="4" max="4" width="32.85546875" customWidth="1"/>
    <col min="5" max="5" width="13.42578125" customWidth="1"/>
    <col min="6" max="6" width="13.7109375" customWidth="1"/>
    <col min="7" max="7" width="16.28515625" customWidth="1"/>
    <col min="8" max="9" width="12.7109375" customWidth="1"/>
    <col min="10" max="10" width="11.42578125" customWidth="1"/>
    <col min="11" max="11" width="10.5703125" customWidth="1"/>
    <col min="12" max="12" width="14.7109375" customWidth="1"/>
    <col min="13" max="13" width="13.85546875" customWidth="1"/>
  </cols>
  <sheetData>
    <row r="1" spans="1:13" ht="14.25" customHeight="1">
      <c r="A1" s="152" t="s">
        <v>111</v>
      </c>
      <c r="B1" s="153"/>
      <c r="C1" s="153"/>
      <c r="D1" s="153"/>
      <c r="E1" s="153"/>
      <c r="F1" s="153"/>
      <c r="G1" s="153"/>
      <c r="H1" s="153"/>
      <c r="I1" s="153"/>
      <c r="J1" s="77">
        <v>43465</v>
      </c>
      <c r="K1" s="153"/>
      <c r="L1" s="153"/>
      <c r="M1" s="154"/>
    </row>
    <row r="2" spans="1:13" ht="26.25" customHeight="1">
      <c r="A2" s="78" t="s">
        <v>112</v>
      </c>
      <c r="B2" s="78" t="s">
        <v>113</v>
      </c>
      <c r="C2" s="84" t="s">
        <v>114</v>
      </c>
      <c r="D2" s="78" t="s">
        <v>59</v>
      </c>
      <c r="E2" s="79" t="s">
        <v>115</v>
      </c>
      <c r="F2" s="84" t="s">
        <v>116</v>
      </c>
      <c r="G2" s="84" t="s">
        <v>117</v>
      </c>
      <c r="H2" s="78" t="s">
        <v>118</v>
      </c>
      <c r="I2" s="80" t="s">
        <v>119</v>
      </c>
      <c r="J2" s="84" t="s">
        <v>120</v>
      </c>
      <c r="K2" s="81" t="s">
        <v>121</v>
      </c>
      <c r="L2" s="84" t="s">
        <v>122</v>
      </c>
      <c r="M2" s="84" t="s">
        <v>123</v>
      </c>
    </row>
    <row r="3" spans="1:13" ht="12.75" customHeight="1">
      <c r="A3" s="82">
        <v>1</v>
      </c>
      <c r="B3" s="82">
        <v>101</v>
      </c>
      <c r="C3" s="82" t="s">
        <v>124</v>
      </c>
      <c r="D3" s="71" t="s">
        <v>125</v>
      </c>
      <c r="E3" s="83">
        <v>42185</v>
      </c>
      <c r="F3" s="73">
        <v>2.5000000000000001E-2</v>
      </c>
      <c r="G3" s="74">
        <v>300000</v>
      </c>
      <c r="H3" s="74">
        <f>IF((G3*F3/12)*K3&gt;G3,G3,(G3*F3/12)*K3)</f>
        <v>26250</v>
      </c>
      <c r="I3" s="74">
        <v>273750</v>
      </c>
      <c r="J3" s="75">
        <v>8.7499999999999994E-2</v>
      </c>
      <c r="K3" s="71">
        <f>DATEDIF(E3,$J$1,"M")</f>
        <v>42</v>
      </c>
      <c r="L3" s="71">
        <f>(100%/F3)*12</f>
        <v>480</v>
      </c>
      <c r="M3" s="72">
        <f>EDATE(E3,L3)</f>
        <v>56795</v>
      </c>
    </row>
    <row r="4" spans="1:13" ht="12.75" customHeight="1">
      <c r="A4" s="82">
        <v>1</v>
      </c>
      <c r="B4" s="82">
        <v>104</v>
      </c>
      <c r="C4" s="82" t="s">
        <v>126</v>
      </c>
      <c r="D4" s="71" t="s">
        <v>127</v>
      </c>
      <c r="E4" s="83">
        <v>41670</v>
      </c>
      <c r="F4" s="73">
        <v>2.5000000000000001E-2</v>
      </c>
      <c r="G4" s="74">
        <v>100000</v>
      </c>
      <c r="H4" s="74">
        <f t="shared" ref="H4:H5" si="0">IF((G4*F4/12)*K4&gt;G4,G4,(G4*F4/12)*K4)</f>
        <v>12291.666666666668</v>
      </c>
      <c r="I4" s="74">
        <v>87708.33</v>
      </c>
      <c r="J4" s="75">
        <v>0.1229</v>
      </c>
      <c r="K4" s="71">
        <f t="shared" ref="K4:K5" si="1">DATEDIF(E4,$J$1,"M")</f>
        <v>59</v>
      </c>
      <c r="L4" s="71">
        <f t="shared" ref="L4:L5" si="2">(100%/F4)*12</f>
        <v>480</v>
      </c>
      <c r="M4" s="72">
        <f t="shared" ref="M4:M5" si="3">EDATE(E4,L4)</f>
        <v>56280</v>
      </c>
    </row>
    <row r="5" spans="1:13" ht="12.75" customHeight="1">
      <c r="A5" s="82">
        <v>1</v>
      </c>
      <c r="B5" s="82">
        <v>105</v>
      </c>
      <c r="C5" s="82" t="s">
        <v>128</v>
      </c>
      <c r="D5" s="71" t="s">
        <v>129</v>
      </c>
      <c r="E5" s="83">
        <v>39568</v>
      </c>
      <c r="F5" s="73">
        <v>2.5000000000000001E-2</v>
      </c>
      <c r="G5" s="74">
        <v>250000</v>
      </c>
      <c r="H5" s="74">
        <f t="shared" si="0"/>
        <v>66666.666666666672</v>
      </c>
      <c r="I5" s="74">
        <v>183333.33</v>
      </c>
      <c r="J5" s="75">
        <v>0.26669999999999999</v>
      </c>
      <c r="K5" s="71">
        <f t="shared" si="1"/>
        <v>128</v>
      </c>
      <c r="L5" s="71">
        <f t="shared" si="2"/>
        <v>480</v>
      </c>
      <c r="M5" s="72">
        <f t="shared" si="3"/>
        <v>54178</v>
      </c>
    </row>
    <row r="6" spans="1:13" ht="12" customHeight="1">
      <c r="A6" s="151" t="s">
        <v>130</v>
      </c>
      <c r="B6" s="151"/>
      <c r="C6" s="76"/>
      <c r="D6" s="76"/>
      <c r="E6" s="76"/>
      <c r="F6" s="76"/>
      <c r="G6" s="85">
        <f>SUM(G4,G3,G5)</f>
        <v>650000</v>
      </c>
      <c r="H6" s="85">
        <f>SUM(H3:H5)</f>
        <v>105208.33333333334</v>
      </c>
      <c r="I6" s="85">
        <f>SUM(I3:I5)</f>
        <v>544791.66</v>
      </c>
      <c r="J6" s="86">
        <f>H6/G6</f>
        <v>0.16185897435897437</v>
      </c>
      <c r="K6" s="76"/>
      <c r="L6" s="76"/>
      <c r="M6" s="76"/>
    </row>
  </sheetData>
  <mergeCells count="3">
    <mergeCell ref="A6:B6"/>
    <mergeCell ref="A1:I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DBACB-5B5F-4894-92DF-0D6A37D8F514}">
  <dimension ref="A1:G16"/>
  <sheetViews>
    <sheetView workbookViewId="0">
      <selection sqref="A1:G16"/>
    </sheetView>
  </sheetViews>
  <sheetFormatPr defaultRowHeight="15"/>
  <cols>
    <col min="1" max="1" width="13.7109375" customWidth="1"/>
    <col min="4" max="4" width="15.7109375" customWidth="1"/>
    <col min="5" max="5" width="12.42578125" customWidth="1"/>
    <col min="6" max="6" width="11.28515625" customWidth="1"/>
    <col min="7" max="7" width="11.42578125" customWidth="1"/>
  </cols>
  <sheetData>
    <row r="1" spans="1:7">
      <c r="A1" s="113" t="s">
        <v>15</v>
      </c>
      <c r="B1" s="114"/>
      <c r="C1" s="114"/>
      <c r="D1" s="106" t="s">
        <v>16</v>
      </c>
      <c r="E1" s="107"/>
      <c r="F1" s="107"/>
      <c r="G1" s="1"/>
    </row>
    <row r="2" spans="1:7">
      <c r="A2" s="115"/>
      <c r="B2" s="116"/>
      <c r="C2" s="116"/>
      <c r="D2" s="108"/>
      <c r="E2" s="109"/>
      <c r="F2" s="109"/>
      <c r="G2" s="3"/>
    </row>
    <row r="3" spans="1:7">
      <c r="A3" s="117" t="s">
        <v>17</v>
      </c>
      <c r="B3" s="118"/>
      <c r="C3" s="118"/>
      <c r="D3" s="18" t="s">
        <v>18</v>
      </c>
      <c r="E3" s="18">
        <v>2018</v>
      </c>
      <c r="F3" s="18"/>
      <c r="G3" s="21"/>
    </row>
    <row r="4" spans="1:7">
      <c r="A4" s="119" t="s">
        <v>19</v>
      </c>
      <c r="B4" s="120"/>
      <c r="C4" s="120"/>
      <c r="D4" s="18" t="s">
        <v>20</v>
      </c>
      <c r="E4" s="18">
        <f>SUM(F10:F13)</f>
        <v>128</v>
      </c>
      <c r="F4" s="18"/>
      <c r="G4" s="1"/>
    </row>
    <row r="5" spans="1:7">
      <c r="A5" s="121"/>
      <c r="B5" s="122"/>
      <c r="C5" s="122"/>
      <c r="D5" s="18" t="s">
        <v>21</v>
      </c>
      <c r="E5" s="28" t="s">
        <v>8</v>
      </c>
      <c r="F5" s="17"/>
      <c r="G5" s="3"/>
    </row>
    <row r="6" spans="1:7">
      <c r="A6" s="15"/>
      <c r="B6" s="15"/>
      <c r="C6" s="15"/>
      <c r="D6" s="15"/>
      <c r="E6" s="22"/>
      <c r="F6" s="22"/>
      <c r="G6" s="23"/>
    </row>
    <row r="7" spans="1:7">
      <c r="A7" s="16" t="s">
        <v>22</v>
      </c>
      <c r="B7" s="104" t="s">
        <v>23</v>
      </c>
      <c r="C7" s="105"/>
      <c r="D7" s="110" t="s">
        <v>24</v>
      </c>
      <c r="E7" s="112" t="s">
        <v>25</v>
      </c>
      <c r="F7" s="112" t="s">
        <v>26</v>
      </c>
      <c r="G7" s="102" t="s">
        <v>27</v>
      </c>
    </row>
    <row r="8" spans="1:7">
      <c r="A8" s="18" t="s">
        <v>28</v>
      </c>
      <c r="B8" s="29" t="s">
        <v>29</v>
      </c>
      <c r="C8" s="29" t="s">
        <v>30</v>
      </c>
      <c r="D8" s="111"/>
      <c r="E8" s="111"/>
      <c r="F8" s="111"/>
      <c r="G8" s="103"/>
    </row>
    <row r="9" spans="1:7">
      <c r="A9" s="30">
        <v>43831</v>
      </c>
      <c r="B9" s="18"/>
      <c r="C9" s="18"/>
      <c r="D9" s="18" t="s">
        <v>31</v>
      </c>
      <c r="E9" s="18"/>
      <c r="F9" s="18"/>
      <c r="G9" s="2">
        <v>106</v>
      </c>
    </row>
    <row r="10" spans="1:7">
      <c r="A10" s="30">
        <v>43833</v>
      </c>
      <c r="B10" s="16" t="s">
        <v>32</v>
      </c>
      <c r="C10" s="16">
        <v>1</v>
      </c>
      <c r="D10" s="18" t="s">
        <v>33</v>
      </c>
      <c r="E10" s="18"/>
      <c r="F10" s="18">
        <v>50</v>
      </c>
      <c r="G10" s="2">
        <f>G9+E10-F10</f>
        <v>56</v>
      </c>
    </row>
    <row r="11" spans="1:7">
      <c r="A11" s="31">
        <v>43841</v>
      </c>
      <c r="B11" s="20" t="s">
        <v>34</v>
      </c>
      <c r="C11" s="16">
        <v>3</v>
      </c>
      <c r="D11" s="18" t="s">
        <v>35</v>
      </c>
      <c r="E11" s="18">
        <v>80</v>
      </c>
      <c r="F11" s="18"/>
      <c r="G11" s="1">
        <f>G10+E11-F11</f>
        <v>136</v>
      </c>
    </row>
    <row r="12" spans="1:7">
      <c r="A12" s="31">
        <v>43845</v>
      </c>
      <c r="B12" s="19" t="s">
        <v>32</v>
      </c>
      <c r="C12" s="20">
        <v>4</v>
      </c>
      <c r="D12" s="18" t="s">
        <v>33</v>
      </c>
      <c r="E12" s="18"/>
      <c r="F12" s="18">
        <v>32</v>
      </c>
      <c r="G12" s="21">
        <f>G11+E12-F12</f>
        <v>104</v>
      </c>
    </row>
    <row r="13" spans="1:7">
      <c r="A13" s="31">
        <v>43854</v>
      </c>
      <c r="B13" s="19" t="s">
        <v>32</v>
      </c>
      <c r="C13" s="20">
        <v>9</v>
      </c>
      <c r="D13" s="18" t="s">
        <v>36</v>
      </c>
      <c r="E13" s="18"/>
      <c r="F13" s="18">
        <v>46</v>
      </c>
      <c r="G13" s="2">
        <f t="shared" ref="G13" si="0">G12+E13-F13</f>
        <v>58</v>
      </c>
    </row>
    <row r="14" spans="1:7">
      <c r="A14" s="18"/>
      <c r="B14" s="18"/>
      <c r="C14" s="18"/>
      <c r="D14" s="18"/>
      <c r="E14" s="18"/>
      <c r="F14" s="18"/>
      <c r="G14" s="2"/>
    </row>
    <row r="15" spans="1:7">
      <c r="A15" s="18"/>
      <c r="B15" s="17"/>
      <c r="C15" s="18"/>
      <c r="D15" s="17"/>
      <c r="E15" s="18"/>
      <c r="F15" s="18"/>
      <c r="G15" s="2"/>
    </row>
    <row r="16" spans="1:7">
      <c r="A16" s="14"/>
      <c r="B16" s="24"/>
      <c r="C16" s="13"/>
      <c r="D16" s="26" t="s">
        <v>37</v>
      </c>
      <c r="E16" s="27">
        <f>SUM(E11)</f>
        <v>80</v>
      </c>
      <c r="F16" s="27">
        <f>SUM(F10,F12,F13)</f>
        <v>128</v>
      </c>
      <c r="G16" s="25">
        <f>SUM(G9+E16-F16)</f>
        <v>58</v>
      </c>
    </row>
  </sheetData>
  <mergeCells count="9">
    <mergeCell ref="G7:G8"/>
    <mergeCell ref="B7:C7"/>
    <mergeCell ref="D1:F2"/>
    <mergeCell ref="D7:D8"/>
    <mergeCell ref="E7:E8"/>
    <mergeCell ref="F7:F8"/>
    <mergeCell ref="A1:C2"/>
    <mergeCell ref="A3:C3"/>
    <mergeCell ref="A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5405D-E2C7-4A0F-A4B1-64599AE407F1}">
  <dimension ref="A1:G15"/>
  <sheetViews>
    <sheetView topLeftCell="L1" workbookViewId="0">
      <selection activeCell="I11" sqref="I11"/>
    </sheetView>
  </sheetViews>
  <sheetFormatPr defaultRowHeight="15"/>
  <cols>
    <col min="1" max="1" width="14.42578125" customWidth="1"/>
    <col min="2" max="2" width="10.5703125" customWidth="1"/>
    <col min="4" max="4" width="15.140625" customWidth="1"/>
    <col min="5" max="5" width="14.7109375" customWidth="1"/>
    <col min="6" max="6" width="13.5703125" customWidth="1"/>
    <col min="7" max="7" width="12.85546875" customWidth="1"/>
  </cols>
  <sheetData>
    <row r="1" spans="1:7">
      <c r="A1" s="119" t="s">
        <v>38</v>
      </c>
      <c r="B1" s="120"/>
      <c r="C1" s="120"/>
      <c r="D1" s="123" t="s">
        <v>39</v>
      </c>
      <c r="E1" s="124"/>
      <c r="F1" s="124"/>
      <c r="G1" s="2"/>
    </row>
    <row r="2" spans="1:7">
      <c r="A2" s="121"/>
      <c r="B2" s="122"/>
      <c r="C2" s="122"/>
      <c r="D2" s="125"/>
      <c r="E2" s="126"/>
      <c r="F2" s="126"/>
      <c r="G2" s="2"/>
    </row>
    <row r="3" spans="1:7">
      <c r="A3" s="127" t="s">
        <v>40</v>
      </c>
      <c r="B3" s="128"/>
      <c r="C3" s="128"/>
      <c r="D3" s="18" t="s">
        <v>18</v>
      </c>
      <c r="E3" s="18">
        <v>2018</v>
      </c>
      <c r="F3" s="18"/>
      <c r="G3" s="2"/>
    </row>
    <row r="4" spans="1:7">
      <c r="A4" s="129" t="s">
        <v>41</v>
      </c>
      <c r="B4" s="130"/>
      <c r="C4" s="130"/>
      <c r="D4" s="18" t="s">
        <v>20</v>
      </c>
      <c r="E4" s="18">
        <f>SUM(F9,F11)</f>
        <v>98</v>
      </c>
      <c r="F4" s="18"/>
      <c r="G4" s="2"/>
    </row>
    <row r="5" spans="1:7">
      <c r="A5" s="131"/>
      <c r="B5" s="132"/>
      <c r="C5" s="132"/>
      <c r="D5" s="18" t="s">
        <v>42</v>
      </c>
      <c r="E5" s="32" t="s">
        <v>8</v>
      </c>
      <c r="F5" s="18"/>
      <c r="G5" s="2"/>
    </row>
    <row r="6" spans="1:7">
      <c r="A6" s="16" t="s">
        <v>22</v>
      </c>
      <c r="B6" s="104" t="s">
        <v>23</v>
      </c>
      <c r="C6" s="105"/>
      <c r="D6" s="110" t="s">
        <v>24</v>
      </c>
      <c r="E6" s="112" t="s">
        <v>25</v>
      </c>
      <c r="F6" s="133" t="s">
        <v>26</v>
      </c>
      <c r="G6" s="102" t="s">
        <v>27</v>
      </c>
    </row>
    <row r="7" spans="1:7">
      <c r="A7" s="18" t="s">
        <v>28</v>
      </c>
      <c r="B7" s="29" t="s">
        <v>29</v>
      </c>
      <c r="C7" s="29" t="s">
        <v>30</v>
      </c>
      <c r="D7" s="111"/>
      <c r="E7" s="111"/>
      <c r="F7" s="134"/>
      <c r="G7" s="103"/>
    </row>
    <row r="8" spans="1:7">
      <c r="A8" s="30">
        <v>43831</v>
      </c>
      <c r="B8" s="16"/>
      <c r="C8" s="18"/>
      <c r="D8" s="18" t="s">
        <v>31</v>
      </c>
      <c r="E8" s="18"/>
      <c r="F8" s="18"/>
      <c r="G8" s="2">
        <v>56</v>
      </c>
    </row>
    <row r="9" spans="1:7">
      <c r="A9" s="30">
        <v>43832</v>
      </c>
      <c r="B9" s="16" t="s">
        <v>32</v>
      </c>
      <c r="C9" s="16">
        <v>2</v>
      </c>
      <c r="D9" s="18" t="s">
        <v>33</v>
      </c>
      <c r="E9" s="18"/>
      <c r="F9" s="18">
        <v>50</v>
      </c>
      <c r="G9" s="2">
        <f>G8+E9-F9</f>
        <v>6</v>
      </c>
    </row>
    <row r="10" spans="1:7">
      <c r="A10" s="30">
        <v>43834</v>
      </c>
      <c r="B10" s="16" t="s">
        <v>34</v>
      </c>
      <c r="C10" s="16">
        <v>1</v>
      </c>
      <c r="D10" s="18" t="s">
        <v>35</v>
      </c>
      <c r="E10" s="18">
        <v>40</v>
      </c>
      <c r="F10" s="18"/>
      <c r="G10" s="2">
        <f t="shared" ref="G10:G12" si="0">G9+E10-F10</f>
        <v>46</v>
      </c>
    </row>
    <row r="11" spans="1:7">
      <c r="A11" s="30">
        <v>43837</v>
      </c>
      <c r="B11" s="16" t="s">
        <v>32</v>
      </c>
      <c r="C11" s="16">
        <v>3</v>
      </c>
      <c r="D11" s="18" t="s">
        <v>33</v>
      </c>
      <c r="E11" s="18"/>
      <c r="F11" s="18">
        <v>48</v>
      </c>
      <c r="G11" s="2">
        <f>G10+E11-F11</f>
        <v>-2</v>
      </c>
    </row>
    <row r="12" spans="1:7">
      <c r="A12" s="30">
        <v>43842</v>
      </c>
      <c r="B12" s="16" t="s">
        <v>34</v>
      </c>
      <c r="C12" s="16">
        <v>4</v>
      </c>
      <c r="D12" s="18" t="s">
        <v>35</v>
      </c>
      <c r="E12" s="18">
        <v>25</v>
      </c>
      <c r="F12" s="18"/>
      <c r="G12" s="2">
        <f t="shared" si="0"/>
        <v>23</v>
      </c>
    </row>
    <row r="13" spans="1:7">
      <c r="A13" s="1"/>
      <c r="B13" s="33"/>
      <c r="C13" s="1"/>
      <c r="D13" s="35"/>
      <c r="E13" s="34"/>
      <c r="F13" s="34"/>
      <c r="G13" s="2"/>
    </row>
    <row r="14" spans="1:7">
      <c r="A14" s="3"/>
      <c r="B14" s="1"/>
      <c r="C14" s="1"/>
      <c r="D14" s="20"/>
      <c r="E14" s="1"/>
      <c r="F14" s="1"/>
      <c r="G14" s="1"/>
    </row>
    <row r="15" spans="1:7">
      <c r="A15" s="13"/>
      <c r="B15" s="13"/>
      <c r="C15" s="13"/>
      <c r="D15" s="36" t="s">
        <v>37</v>
      </c>
      <c r="E15" s="25">
        <v>65</v>
      </c>
      <c r="F15" s="25">
        <v>98</v>
      </c>
      <c r="G15" s="25">
        <f>SUM(G8+E15-F15)</f>
        <v>23</v>
      </c>
    </row>
  </sheetData>
  <mergeCells count="9">
    <mergeCell ref="A1:C2"/>
    <mergeCell ref="D1:F2"/>
    <mergeCell ref="G6:G7"/>
    <mergeCell ref="A3:C3"/>
    <mergeCell ref="A4:C5"/>
    <mergeCell ref="B6:C6"/>
    <mergeCell ref="D6:D7"/>
    <mergeCell ref="E6:E7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14E32-6BFF-4D6C-A846-8C3CCE933DA6}">
  <dimension ref="A1:G16"/>
  <sheetViews>
    <sheetView workbookViewId="0">
      <selection activeCell="F18" sqref="F18"/>
    </sheetView>
  </sheetViews>
  <sheetFormatPr defaultRowHeight="15"/>
  <cols>
    <col min="1" max="1" width="16" customWidth="1"/>
    <col min="2" max="2" width="12.7109375" customWidth="1"/>
    <col min="3" max="3" width="11.85546875" customWidth="1"/>
    <col min="4" max="4" width="15.7109375" customWidth="1"/>
    <col min="5" max="6" width="12.28515625" customWidth="1"/>
  </cols>
  <sheetData>
    <row r="1" spans="1:7">
      <c r="A1" s="113" t="s">
        <v>15</v>
      </c>
      <c r="B1" s="114"/>
      <c r="C1" s="114"/>
      <c r="D1" s="106" t="s">
        <v>43</v>
      </c>
      <c r="E1" s="107"/>
      <c r="F1" s="107"/>
      <c r="G1" s="1"/>
    </row>
    <row r="2" spans="1:7">
      <c r="A2" s="115"/>
      <c r="B2" s="116"/>
      <c r="C2" s="116"/>
      <c r="D2" s="108"/>
      <c r="E2" s="109"/>
      <c r="F2" s="109"/>
      <c r="G2" s="3"/>
    </row>
    <row r="3" spans="1:7">
      <c r="A3" s="117" t="s">
        <v>44</v>
      </c>
      <c r="B3" s="118"/>
      <c r="C3" s="118"/>
      <c r="D3" s="18" t="s">
        <v>18</v>
      </c>
      <c r="E3" s="18">
        <v>2018</v>
      </c>
      <c r="F3" s="18"/>
      <c r="G3" s="21"/>
    </row>
    <row r="4" spans="1:7">
      <c r="A4" s="113" t="s">
        <v>45</v>
      </c>
      <c r="B4" s="114"/>
      <c r="C4" s="114"/>
      <c r="D4" s="18" t="s">
        <v>20</v>
      </c>
      <c r="E4" s="18">
        <f>SUM(F10,F12,F14)</f>
        <v>216</v>
      </c>
      <c r="F4" s="18"/>
      <c r="G4" s="1"/>
    </row>
    <row r="5" spans="1:7">
      <c r="A5" s="115"/>
      <c r="B5" s="116"/>
      <c r="C5" s="116"/>
      <c r="D5" s="18" t="s">
        <v>21</v>
      </c>
      <c r="E5" s="28" t="s">
        <v>11</v>
      </c>
      <c r="F5" s="17"/>
      <c r="G5" s="3"/>
    </row>
    <row r="6" spans="1:7">
      <c r="A6" s="15"/>
      <c r="B6" s="15"/>
      <c r="C6" s="15"/>
      <c r="D6" s="15"/>
      <c r="E6" s="22"/>
      <c r="F6" s="22"/>
      <c r="G6" s="23"/>
    </row>
    <row r="7" spans="1:7">
      <c r="A7" s="16" t="s">
        <v>22</v>
      </c>
      <c r="B7" s="104" t="s">
        <v>23</v>
      </c>
      <c r="C7" s="105"/>
      <c r="D7" s="110" t="s">
        <v>24</v>
      </c>
      <c r="E7" s="112" t="s">
        <v>25</v>
      </c>
      <c r="F7" s="112" t="s">
        <v>26</v>
      </c>
      <c r="G7" s="102" t="s">
        <v>27</v>
      </c>
    </row>
    <row r="8" spans="1:7">
      <c r="A8" s="88" t="s">
        <v>28</v>
      </c>
      <c r="B8" s="29" t="s">
        <v>29</v>
      </c>
      <c r="C8" s="29" t="s">
        <v>30</v>
      </c>
      <c r="D8" s="111"/>
      <c r="E8" s="111"/>
      <c r="F8" s="111"/>
      <c r="G8" s="103"/>
    </row>
    <row r="9" spans="1:7">
      <c r="A9" s="30">
        <v>43831</v>
      </c>
      <c r="B9" s="18"/>
      <c r="C9" s="18"/>
      <c r="D9" s="18" t="s">
        <v>31</v>
      </c>
      <c r="E9" s="18"/>
      <c r="F9" s="18"/>
      <c r="G9" s="2">
        <v>150</v>
      </c>
    </row>
    <row r="10" spans="1:7">
      <c r="A10" s="30">
        <v>43846</v>
      </c>
      <c r="B10" s="16" t="s">
        <v>32</v>
      </c>
      <c r="C10" s="16">
        <v>5</v>
      </c>
      <c r="D10" s="18" t="s">
        <v>33</v>
      </c>
      <c r="E10" s="18"/>
      <c r="F10" s="18">
        <v>50</v>
      </c>
      <c r="G10" s="2">
        <f>G9+E10-F10</f>
        <v>100</v>
      </c>
    </row>
    <row r="11" spans="1:7">
      <c r="A11" s="31">
        <v>43847</v>
      </c>
      <c r="B11" s="20" t="s">
        <v>34</v>
      </c>
      <c r="C11" s="16">
        <v>5</v>
      </c>
      <c r="D11" s="18" t="s">
        <v>46</v>
      </c>
      <c r="E11" s="18">
        <v>30</v>
      </c>
      <c r="F11" s="18"/>
      <c r="G11" s="2">
        <f t="shared" ref="G11:G14" si="0">G10+E11-F11</f>
        <v>130</v>
      </c>
    </row>
    <row r="12" spans="1:7">
      <c r="A12" s="31">
        <v>43848</v>
      </c>
      <c r="B12" s="19" t="s">
        <v>32</v>
      </c>
      <c r="C12" s="20">
        <v>6</v>
      </c>
      <c r="D12" s="18" t="s">
        <v>33</v>
      </c>
      <c r="E12" s="18"/>
      <c r="F12" s="18">
        <v>110</v>
      </c>
      <c r="G12" s="2">
        <f t="shared" si="0"/>
        <v>20</v>
      </c>
    </row>
    <row r="13" spans="1:7">
      <c r="A13" s="31">
        <v>43849</v>
      </c>
      <c r="B13" s="19" t="s">
        <v>34</v>
      </c>
      <c r="C13" s="20">
        <v>6</v>
      </c>
      <c r="D13" s="18" t="s">
        <v>46</v>
      </c>
      <c r="E13" s="18">
        <v>75</v>
      </c>
      <c r="F13" s="18"/>
      <c r="G13" s="2">
        <f t="shared" si="0"/>
        <v>95</v>
      </c>
    </row>
    <row r="14" spans="1:7">
      <c r="A14" s="30">
        <v>43850</v>
      </c>
      <c r="B14" s="16" t="s">
        <v>32</v>
      </c>
      <c r="C14" s="16">
        <v>7</v>
      </c>
      <c r="D14" s="18" t="s">
        <v>33</v>
      </c>
      <c r="E14" s="18"/>
      <c r="F14" s="18">
        <v>56</v>
      </c>
      <c r="G14" s="2">
        <f t="shared" si="0"/>
        <v>39</v>
      </c>
    </row>
    <row r="15" spans="1:7">
      <c r="A15" s="18"/>
      <c r="B15" s="17"/>
      <c r="C15" s="18"/>
      <c r="D15" s="17"/>
      <c r="E15" s="18"/>
      <c r="F15" s="18"/>
      <c r="G15" s="2"/>
    </row>
    <row r="16" spans="1:7">
      <c r="A16" s="14"/>
      <c r="B16" s="24"/>
      <c r="C16" s="13"/>
      <c r="D16" s="26" t="s">
        <v>37</v>
      </c>
      <c r="E16" s="27">
        <f>SUM(E11,E13)</f>
        <v>105</v>
      </c>
      <c r="F16" s="27">
        <f>SUM(F10,F12,F14)</f>
        <v>216</v>
      </c>
      <c r="G16" s="25">
        <f>SUM(G9+E16-F16)</f>
        <v>39</v>
      </c>
    </row>
  </sheetData>
  <mergeCells count="9">
    <mergeCell ref="G7:G8"/>
    <mergeCell ref="A1:C2"/>
    <mergeCell ref="D1:F2"/>
    <mergeCell ref="A3:C3"/>
    <mergeCell ref="A4:C5"/>
    <mergeCell ref="B7:C7"/>
    <mergeCell ref="D7:D8"/>
    <mergeCell ref="E7:E8"/>
    <mergeCell ref="F7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98EE-67B4-4A71-ABD0-0C2A6D6F1F55}">
  <dimension ref="A1:G16"/>
  <sheetViews>
    <sheetView workbookViewId="0">
      <selection activeCell="E4" sqref="E4"/>
    </sheetView>
  </sheetViews>
  <sheetFormatPr defaultRowHeight="15"/>
  <cols>
    <col min="1" max="1" width="14" customWidth="1"/>
    <col min="2" max="2" width="11.5703125" customWidth="1"/>
    <col min="3" max="3" width="9" customWidth="1"/>
    <col min="4" max="4" width="15.85546875" customWidth="1"/>
    <col min="5" max="5" width="12.7109375" customWidth="1"/>
    <col min="6" max="6" width="13.7109375" customWidth="1"/>
    <col min="7" max="7" width="12.28515625" customWidth="1"/>
  </cols>
  <sheetData>
    <row r="1" spans="1:7">
      <c r="A1" s="113" t="s">
        <v>15</v>
      </c>
      <c r="B1" s="114"/>
      <c r="C1" s="114"/>
      <c r="D1" s="106" t="s">
        <v>47</v>
      </c>
      <c r="E1" s="107"/>
      <c r="F1" s="107"/>
      <c r="G1" s="2"/>
    </row>
    <row r="2" spans="1:7">
      <c r="A2" s="115"/>
      <c r="B2" s="116"/>
      <c r="C2" s="116"/>
      <c r="D2" s="108"/>
      <c r="E2" s="109"/>
      <c r="F2" s="109"/>
      <c r="G2" s="2"/>
    </row>
    <row r="3" spans="1:7">
      <c r="A3" s="117" t="s">
        <v>17</v>
      </c>
      <c r="B3" s="118"/>
      <c r="C3" s="118"/>
      <c r="D3" s="18" t="s">
        <v>18</v>
      </c>
      <c r="E3" s="18">
        <v>2018</v>
      </c>
      <c r="F3" s="18"/>
      <c r="G3" s="1"/>
    </row>
    <row r="4" spans="1:7">
      <c r="A4" s="129" t="s">
        <v>48</v>
      </c>
      <c r="B4" s="130"/>
      <c r="C4" s="130"/>
      <c r="D4" s="18" t="s">
        <v>20</v>
      </c>
      <c r="E4" s="18">
        <f>SUM(F10:F13)</f>
        <v>90</v>
      </c>
      <c r="F4" s="18"/>
      <c r="G4" s="3"/>
    </row>
    <row r="5" spans="1:7">
      <c r="A5" s="131"/>
      <c r="B5" s="132"/>
      <c r="C5" s="132"/>
      <c r="D5" s="18" t="s">
        <v>21</v>
      </c>
      <c r="E5" s="37" t="s">
        <v>13</v>
      </c>
      <c r="F5" s="17"/>
      <c r="G5" s="3"/>
    </row>
    <row r="6" spans="1:7">
      <c r="A6" s="15"/>
      <c r="B6" s="15"/>
      <c r="C6" s="15"/>
      <c r="D6" s="15"/>
      <c r="E6" s="22"/>
      <c r="F6" s="22"/>
      <c r="G6" s="23"/>
    </row>
    <row r="7" spans="1:7">
      <c r="A7" s="16" t="s">
        <v>22</v>
      </c>
      <c r="B7" s="104" t="s">
        <v>23</v>
      </c>
      <c r="C7" s="105"/>
      <c r="D7" s="110" t="s">
        <v>24</v>
      </c>
      <c r="E7" s="112" t="s">
        <v>25</v>
      </c>
      <c r="F7" s="112" t="s">
        <v>26</v>
      </c>
      <c r="G7" s="102" t="s">
        <v>27</v>
      </c>
    </row>
    <row r="8" spans="1:7">
      <c r="A8" s="18" t="s">
        <v>28</v>
      </c>
      <c r="B8" s="29" t="s">
        <v>29</v>
      </c>
      <c r="C8" s="29" t="s">
        <v>30</v>
      </c>
      <c r="D8" s="111"/>
      <c r="E8" s="111"/>
      <c r="F8" s="111"/>
      <c r="G8" s="103"/>
    </row>
    <row r="9" spans="1:7">
      <c r="A9" s="30">
        <v>43831</v>
      </c>
      <c r="B9" s="18"/>
      <c r="C9" s="18"/>
      <c r="D9" s="18" t="s">
        <v>31</v>
      </c>
      <c r="E9" s="18"/>
      <c r="F9" s="18"/>
      <c r="G9" s="2">
        <v>52</v>
      </c>
    </row>
    <row r="10" spans="1:7">
      <c r="A10" s="30">
        <v>43840</v>
      </c>
      <c r="B10" s="16" t="s">
        <v>34</v>
      </c>
      <c r="C10" s="16">
        <v>2</v>
      </c>
      <c r="D10" s="18" t="s">
        <v>46</v>
      </c>
      <c r="E10" s="18">
        <v>40</v>
      </c>
      <c r="F10" s="18"/>
      <c r="G10" s="2">
        <f>G9+E10-F10</f>
        <v>92</v>
      </c>
    </row>
    <row r="11" spans="1:7">
      <c r="A11" s="31">
        <v>43850</v>
      </c>
      <c r="B11" s="20" t="s">
        <v>34</v>
      </c>
      <c r="C11" s="16">
        <v>7</v>
      </c>
      <c r="D11" s="18" t="s">
        <v>46</v>
      </c>
      <c r="E11" s="18">
        <v>50</v>
      </c>
      <c r="F11" s="18"/>
      <c r="G11" s="1">
        <f>G10+E11-F11</f>
        <v>142</v>
      </c>
    </row>
    <row r="12" spans="1:7">
      <c r="A12" s="31">
        <v>43851</v>
      </c>
      <c r="B12" s="19" t="s">
        <v>32</v>
      </c>
      <c r="C12" s="20">
        <v>8</v>
      </c>
      <c r="D12" s="18" t="s">
        <v>33</v>
      </c>
      <c r="E12" s="18"/>
      <c r="F12" s="18">
        <v>50</v>
      </c>
      <c r="G12" s="21">
        <f>G11+E12-F12</f>
        <v>92</v>
      </c>
    </row>
    <row r="13" spans="1:7">
      <c r="A13" s="31">
        <v>43855</v>
      </c>
      <c r="B13" s="19" t="s">
        <v>32</v>
      </c>
      <c r="C13" s="20">
        <v>10</v>
      </c>
      <c r="D13" s="18" t="s">
        <v>33</v>
      </c>
      <c r="E13" s="18"/>
      <c r="F13" s="18">
        <v>40</v>
      </c>
      <c r="G13" s="2">
        <f t="shared" ref="G13" si="0">G12+E13-F13</f>
        <v>52</v>
      </c>
    </row>
    <row r="14" spans="1:7">
      <c r="A14" s="18"/>
      <c r="B14" s="18"/>
      <c r="C14" s="18"/>
      <c r="D14" s="18"/>
      <c r="E14" s="18"/>
      <c r="F14" s="18"/>
      <c r="G14" s="2"/>
    </row>
    <row r="15" spans="1:7">
      <c r="A15" s="18"/>
      <c r="B15" s="17"/>
      <c r="C15" s="18"/>
      <c r="D15" s="17"/>
      <c r="E15" s="18"/>
      <c r="F15" s="18"/>
      <c r="G15" s="2"/>
    </row>
    <row r="16" spans="1:7">
      <c r="A16" s="14"/>
      <c r="B16" s="24"/>
      <c r="C16" s="13"/>
      <c r="D16" s="26" t="s">
        <v>37</v>
      </c>
      <c r="E16" s="27">
        <f>SUM(E11,E10)</f>
        <v>90</v>
      </c>
      <c r="F16" s="27">
        <f>SUM(F12,F13)</f>
        <v>90</v>
      </c>
      <c r="G16" s="25">
        <f>SUM(G9+E16-F16)</f>
        <v>52</v>
      </c>
    </row>
  </sheetData>
  <mergeCells count="9">
    <mergeCell ref="G7:G8"/>
    <mergeCell ref="A1:C2"/>
    <mergeCell ref="D1:F2"/>
    <mergeCell ref="A3:C3"/>
    <mergeCell ref="A4:C5"/>
    <mergeCell ref="B7:C7"/>
    <mergeCell ref="D7:D8"/>
    <mergeCell ref="E7:E8"/>
    <mergeCell ref="F7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E688F-666B-442C-BF9F-B68B9F87F82A}">
  <dimension ref="A1:G16"/>
  <sheetViews>
    <sheetView workbookViewId="0">
      <selection activeCell="G16" sqref="G16"/>
    </sheetView>
  </sheetViews>
  <sheetFormatPr defaultRowHeight="15"/>
  <cols>
    <col min="1" max="1" width="16.28515625" customWidth="1"/>
    <col min="2" max="2" width="13.7109375" customWidth="1"/>
    <col min="3" max="3" width="12.42578125" customWidth="1"/>
    <col min="4" max="4" width="15" customWidth="1"/>
    <col min="5" max="5" width="10.85546875" customWidth="1"/>
    <col min="6" max="6" width="11.140625" customWidth="1"/>
  </cols>
  <sheetData>
    <row r="1" spans="1:7">
      <c r="A1" s="113" t="s">
        <v>15</v>
      </c>
      <c r="B1" s="114"/>
      <c r="C1" s="114"/>
      <c r="D1" s="106" t="s">
        <v>49</v>
      </c>
      <c r="E1" s="107"/>
      <c r="F1" s="107"/>
      <c r="G1" s="1"/>
    </row>
    <row r="2" spans="1:7">
      <c r="A2" s="115"/>
      <c r="B2" s="116"/>
      <c r="C2" s="116"/>
      <c r="D2" s="108"/>
      <c r="E2" s="109"/>
      <c r="F2" s="109"/>
      <c r="G2" s="3"/>
    </row>
    <row r="3" spans="1:7">
      <c r="A3" s="117" t="s">
        <v>17</v>
      </c>
      <c r="B3" s="118"/>
      <c r="C3" s="118"/>
      <c r="D3" s="18" t="s">
        <v>18</v>
      </c>
      <c r="E3" s="18">
        <v>2018</v>
      </c>
      <c r="F3" s="18"/>
      <c r="G3" s="21"/>
    </row>
    <row r="4" spans="1:7">
      <c r="A4" s="129" t="s">
        <v>50</v>
      </c>
      <c r="B4" s="130"/>
      <c r="C4" s="130"/>
      <c r="D4" s="18" t="s">
        <v>20</v>
      </c>
      <c r="E4" s="18">
        <f>SUM(F10:F12)</f>
        <v>50</v>
      </c>
      <c r="F4" s="18"/>
      <c r="G4" s="1"/>
    </row>
    <row r="5" spans="1:7">
      <c r="A5" s="131"/>
      <c r="B5" s="132"/>
      <c r="C5" s="132"/>
      <c r="D5" s="18" t="s">
        <v>21</v>
      </c>
      <c r="E5" s="37" t="s">
        <v>13</v>
      </c>
      <c r="F5" s="17"/>
      <c r="G5" s="3"/>
    </row>
    <row r="6" spans="1:7">
      <c r="A6" s="15"/>
      <c r="B6" s="15"/>
      <c r="C6" s="15"/>
      <c r="D6" s="15"/>
      <c r="E6" s="22"/>
      <c r="F6" s="22"/>
      <c r="G6" s="23"/>
    </row>
    <row r="7" spans="1:7">
      <c r="A7" s="16" t="s">
        <v>22</v>
      </c>
      <c r="B7" s="104" t="s">
        <v>23</v>
      </c>
      <c r="C7" s="105"/>
      <c r="D7" s="110" t="s">
        <v>24</v>
      </c>
      <c r="E7" s="112" t="s">
        <v>25</v>
      </c>
      <c r="F7" s="112" t="s">
        <v>26</v>
      </c>
      <c r="G7" s="102" t="s">
        <v>27</v>
      </c>
    </row>
    <row r="8" spans="1:7">
      <c r="A8" s="18" t="s">
        <v>28</v>
      </c>
      <c r="B8" s="29" t="s">
        <v>29</v>
      </c>
      <c r="C8" s="29" t="s">
        <v>30</v>
      </c>
      <c r="D8" s="111"/>
      <c r="E8" s="111"/>
      <c r="F8" s="111"/>
      <c r="G8" s="103"/>
    </row>
    <row r="9" spans="1:7">
      <c r="A9" s="30">
        <v>43831</v>
      </c>
      <c r="B9" s="18"/>
      <c r="C9" s="18"/>
      <c r="D9" s="18" t="s">
        <v>31</v>
      </c>
      <c r="E9" s="18"/>
      <c r="F9" s="18"/>
      <c r="G9" s="2">
        <v>13</v>
      </c>
    </row>
    <row r="10" spans="1:7">
      <c r="A10" s="30">
        <v>43856</v>
      </c>
      <c r="B10" s="16" t="s">
        <v>32</v>
      </c>
      <c r="C10" s="16">
        <v>11</v>
      </c>
      <c r="D10" s="18" t="s">
        <v>33</v>
      </c>
      <c r="E10" s="18"/>
      <c r="F10" s="18">
        <v>10</v>
      </c>
      <c r="G10" s="2">
        <f>G9+E10-F10</f>
        <v>3</v>
      </c>
    </row>
    <row r="11" spans="1:7">
      <c r="A11" s="31">
        <v>43856</v>
      </c>
      <c r="B11" s="20" t="s">
        <v>34</v>
      </c>
      <c r="C11" s="16">
        <v>8</v>
      </c>
      <c r="D11" s="18" t="s">
        <v>46</v>
      </c>
      <c r="E11" s="18">
        <v>40</v>
      </c>
      <c r="F11" s="18"/>
      <c r="G11" s="1">
        <f>G10+E11-F11</f>
        <v>43</v>
      </c>
    </row>
    <row r="12" spans="1:7">
      <c r="A12" s="31">
        <v>43857</v>
      </c>
      <c r="B12" s="19" t="s">
        <v>32</v>
      </c>
      <c r="C12" s="20">
        <v>12</v>
      </c>
      <c r="D12" s="18" t="s">
        <v>33</v>
      </c>
      <c r="E12" s="18"/>
      <c r="F12" s="18">
        <v>40</v>
      </c>
      <c r="G12" s="21">
        <f>G11+E12-F12</f>
        <v>3</v>
      </c>
    </row>
    <row r="13" spans="1:7">
      <c r="A13" s="31">
        <v>43858</v>
      </c>
      <c r="B13" s="19" t="s">
        <v>34</v>
      </c>
      <c r="C13" s="20">
        <v>9</v>
      </c>
      <c r="D13" s="18" t="s">
        <v>46</v>
      </c>
      <c r="E13" s="18">
        <v>10</v>
      </c>
      <c r="F13" s="18"/>
      <c r="G13" s="2">
        <f t="shared" ref="G13" si="0">G12+E13-F13</f>
        <v>13</v>
      </c>
    </row>
    <row r="14" spans="1:7">
      <c r="A14" s="18"/>
      <c r="B14" s="18"/>
      <c r="C14" s="18"/>
      <c r="D14" s="18"/>
      <c r="E14" s="18"/>
      <c r="F14" s="18"/>
      <c r="G14" s="2"/>
    </row>
    <row r="15" spans="1:7">
      <c r="A15" s="18"/>
      <c r="B15" s="17"/>
      <c r="C15" s="18"/>
      <c r="D15" s="17"/>
      <c r="E15" s="18"/>
      <c r="F15" s="18"/>
      <c r="G15" s="2"/>
    </row>
    <row r="16" spans="1:7">
      <c r="A16" s="14"/>
      <c r="B16" s="24"/>
      <c r="C16" s="13"/>
      <c r="D16" s="26" t="s">
        <v>37</v>
      </c>
      <c r="E16" s="27">
        <f>SUM(E11,E13)</f>
        <v>50</v>
      </c>
      <c r="F16" s="27">
        <f>SUM(F10,F12)</f>
        <v>50</v>
      </c>
      <c r="G16" s="25">
        <f>SUM(G9+E16-F16)</f>
        <v>13</v>
      </c>
    </row>
  </sheetData>
  <mergeCells count="9">
    <mergeCell ref="G7:G8"/>
    <mergeCell ref="A1:C2"/>
    <mergeCell ref="D1:F2"/>
    <mergeCell ref="A3:C3"/>
    <mergeCell ref="A4:C5"/>
    <mergeCell ref="B7:C7"/>
    <mergeCell ref="D7:D8"/>
    <mergeCell ref="E7:E8"/>
    <mergeCell ref="F7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458D-B77B-4C6E-8EE9-D366D4F128EE}">
  <dimension ref="A1:G16"/>
  <sheetViews>
    <sheetView workbookViewId="0">
      <selection activeCell="E6" sqref="E6"/>
    </sheetView>
  </sheetViews>
  <sheetFormatPr defaultRowHeight="15"/>
  <cols>
    <col min="1" max="1" width="12.5703125" customWidth="1"/>
    <col min="2" max="2" width="10.5703125" customWidth="1"/>
    <col min="3" max="3" width="14.7109375" customWidth="1"/>
    <col min="4" max="4" width="15" customWidth="1"/>
    <col min="5" max="5" width="14" customWidth="1"/>
    <col min="6" max="6" width="16.7109375" customWidth="1"/>
    <col min="7" max="7" width="12" customWidth="1"/>
  </cols>
  <sheetData>
    <row r="1" spans="1:7">
      <c r="A1" s="113" t="s">
        <v>51</v>
      </c>
      <c r="B1" s="114"/>
      <c r="C1" s="114"/>
      <c r="D1" s="106" t="s">
        <v>52</v>
      </c>
      <c r="E1" s="107"/>
      <c r="F1" s="107"/>
      <c r="G1" s="1"/>
    </row>
    <row r="2" spans="1:7">
      <c r="A2" s="115"/>
      <c r="B2" s="116"/>
      <c r="C2" s="116"/>
      <c r="D2" s="108"/>
      <c r="E2" s="109"/>
      <c r="F2" s="109"/>
      <c r="G2" s="3"/>
    </row>
    <row r="3" spans="1:7">
      <c r="A3" s="117" t="s">
        <v>17</v>
      </c>
      <c r="B3" s="118"/>
      <c r="C3" s="118"/>
      <c r="D3" s="18" t="s">
        <v>18</v>
      </c>
      <c r="E3" s="30">
        <v>44136</v>
      </c>
      <c r="F3" s="18"/>
      <c r="G3" s="21"/>
    </row>
    <row r="4" spans="1:7">
      <c r="A4" s="119" t="s">
        <v>53</v>
      </c>
      <c r="B4" s="120"/>
      <c r="C4" s="120"/>
      <c r="D4" s="18" t="s">
        <v>20</v>
      </c>
      <c r="E4" s="18">
        <f>SUM(F12:F14)</f>
        <v>350</v>
      </c>
      <c r="F4" s="18"/>
      <c r="G4" s="1"/>
    </row>
    <row r="5" spans="1:7">
      <c r="A5" s="121"/>
      <c r="B5" s="122"/>
      <c r="C5" s="122"/>
      <c r="D5" s="18" t="s">
        <v>21</v>
      </c>
      <c r="E5" s="28" t="s">
        <v>11</v>
      </c>
      <c r="F5" s="17"/>
      <c r="G5" s="3"/>
    </row>
    <row r="6" spans="1:7">
      <c r="A6" s="15"/>
      <c r="B6" s="15"/>
      <c r="C6" s="15"/>
      <c r="D6" s="15"/>
      <c r="E6" s="22"/>
      <c r="F6" s="22"/>
      <c r="G6" s="23"/>
    </row>
    <row r="7" spans="1:7">
      <c r="A7" s="16" t="s">
        <v>22</v>
      </c>
      <c r="B7" s="104" t="s">
        <v>23</v>
      </c>
      <c r="C7" s="105"/>
      <c r="D7" s="110" t="s">
        <v>24</v>
      </c>
      <c r="E7" s="112" t="s">
        <v>25</v>
      </c>
      <c r="F7" s="112" t="s">
        <v>26</v>
      </c>
      <c r="G7" s="102" t="s">
        <v>27</v>
      </c>
    </row>
    <row r="8" spans="1:7">
      <c r="A8" s="18" t="s">
        <v>28</v>
      </c>
      <c r="B8" s="29" t="s">
        <v>29</v>
      </c>
      <c r="C8" s="29" t="s">
        <v>30</v>
      </c>
      <c r="D8" s="111"/>
      <c r="E8" s="111"/>
      <c r="F8" s="111"/>
      <c r="G8" s="103"/>
    </row>
    <row r="9" spans="1:7">
      <c r="A9" s="17"/>
      <c r="B9" s="17"/>
      <c r="C9" s="1"/>
      <c r="D9" s="39" t="s">
        <v>31</v>
      </c>
      <c r="E9" s="18"/>
      <c r="F9" s="18"/>
      <c r="G9" s="2">
        <v>25</v>
      </c>
    </row>
    <row r="10" spans="1:7">
      <c r="A10" s="38">
        <v>44138</v>
      </c>
      <c r="B10" s="87" t="s">
        <v>34</v>
      </c>
      <c r="C10" s="40">
        <v>1</v>
      </c>
      <c r="D10" s="18" t="s">
        <v>54</v>
      </c>
      <c r="E10" s="18">
        <v>100</v>
      </c>
      <c r="F10" s="18"/>
      <c r="G10" s="2">
        <f>G9+E10-F10</f>
        <v>125</v>
      </c>
    </row>
    <row r="11" spans="1:7">
      <c r="A11" s="30">
        <v>44145</v>
      </c>
      <c r="B11" s="16" t="s">
        <v>34</v>
      </c>
      <c r="C11" s="16">
        <v>2</v>
      </c>
      <c r="D11" s="18" t="s">
        <v>54</v>
      </c>
      <c r="E11" s="18">
        <v>200</v>
      </c>
      <c r="F11" s="18"/>
      <c r="G11" s="2">
        <f t="shared" ref="G11:G15" si="0">G10+E11-F11</f>
        <v>325</v>
      </c>
    </row>
    <row r="12" spans="1:7">
      <c r="A12" s="31">
        <v>44151</v>
      </c>
      <c r="B12" s="20" t="s">
        <v>55</v>
      </c>
      <c r="C12" s="16">
        <v>1</v>
      </c>
      <c r="D12" s="18" t="s">
        <v>56</v>
      </c>
      <c r="E12" s="18"/>
      <c r="F12" s="18">
        <v>150</v>
      </c>
      <c r="G12" s="2">
        <f t="shared" si="0"/>
        <v>175</v>
      </c>
    </row>
    <row r="13" spans="1:7">
      <c r="A13" s="31">
        <v>44154</v>
      </c>
      <c r="B13" s="19" t="s">
        <v>34</v>
      </c>
      <c r="C13" s="20">
        <v>3</v>
      </c>
      <c r="D13" s="18" t="s">
        <v>54</v>
      </c>
      <c r="E13" s="18">
        <v>50</v>
      </c>
      <c r="F13" s="18"/>
      <c r="G13" s="2">
        <f t="shared" si="0"/>
        <v>225</v>
      </c>
    </row>
    <row r="14" spans="1:7">
      <c r="A14" s="31">
        <v>44161</v>
      </c>
      <c r="B14" s="19" t="s">
        <v>55</v>
      </c>
      <c r="C14" s="20">
        <v>2</v>
      </c>
      <c r="D14" s="18" t="s">
        <v>56</v>
      </c>
      <c r="E14" s="18"/>
      <c r="F14" s="18">
        <v>200</v>
      </c>
      <c r="G14" s="2">
        <f t="shared" si="0"/>
        <v>25</v>
      </c>
    </row>
    <row r="15" spans="1:7">
      <c r="A15" s="30">
        <v>44165</v>
      </c>
      <c r="B15" s="88" t="s">
        <v>34</v>
      </c>
      <c r="C15" s="16">
        <v>4</v>
      </c>
      <c r="D15" s="17" t="s">
        <v>54</v>
      </c>
      <c r="E15" s="18">
        <v>25</v>
      </c>
      <c r="F15" s="18"/>
      <c r="G15" s="2">
        <f t="shared" si="0"/>
        <v>50</v>
      </c>
    </row>
    <row r="16" spans="1:7">
      <c r="A16" s="14"/>
      <c r="B16" s="13"/>
      <c r="C16" s="41"/>
      <c r="D16" s="26" t="s">
        <v>37</v>
      </c>
      <c r="E16" s="27">
        <f>SUM(E11,E10,E13,E15)</f>
        <v>375</v>
      </c>
      <c r="F16" s="27">
        <f>SUM(F12,F14)</f>
        <v>350</v>
      </c>
      <c r="G16" s="25">
        <f>SUM(G9+E16-F16)</f>
        <v>50</v>
      </c>
    </row>
  </sheetData>
  <mergeCells count="9">
    <mergeCell ref="G7:G8"/>
    <mergeCell ref="A1:C2"/>
    <mergeCell ref="D1:F2"/>
    <mergeCell ref="A3:C3"/>
    <mergeCell ref="A4:C5"/>
    <mergeCell ref="B7:C7"/>
    <mergeCell ref="D7:D8"/>
    <mergeCell ref="E7:E8"/>
    <mergeCell ref="F7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B894-4E2B-4E50-AC5B-01C3EA00AFFF}">
  <dimension ref="A1:P31"/>
  <sheetViews>
    <sheetView topLeftCell="A30" workbookViewId="0">
      <selection activeCell="O45" sqref="O45"/>
    </sheetView>
  </sheetViews>
  <sheetFormatPr defaultRowHeight="15"/>
  <cols>
    <col min="2" max="2" width="10.5703125" customWidth="1"/>
    <col min="3" max="3" width="13" customWidth="1"/>
    <col min="4" max="4" width="13.140625" customWidth="1"/>
    <col min="5" max="5" width="12.85546875" customWidth="1"/>
    <col min="6" max="6" width="11.5703125" customWidth="1"/>
    <col min="7" max="7" width="11" customWidth="1"/>
    <col min="8" max="8" width="15.5703125" customWidth="1"/>
    <col min="9" max="9" width="14.28515625" customWidth="1"/>
    <col min="10" max="10" width="14.42578125" customWidth="1"/>
    <col min="11" max="11" width="11.85546875" customWidth="1"/>
    <col min="12" max="12" width="11.5703125" customWidth="1"/>
  </cols>
  <sheetData>
    <row r="1" spans="1:14" ht="32.25" customHeight="1">
      <c r="A1" s="136" t="s">
        <v>57</v>
      </c>
      <c r="B1" s="136" t="s">
        <v>58</v>
      </c>
      <c r="C1" s="136" t="s">
        <v>59</v>
      </c>
      <c r="D1" s="136" t="s">
        <v>60</v>
      </c>
      <c r="E1" s="138" t="s">
        <v>61</v>
      </c>
      <c r="F1" s="136" t="s">
        <v>62</v>
      </c>
      <c r="G1" s="137" t="s">
        <v>63</v>
      </c>
      <c r="H1" s="137" t="s">
        <v>64</v>
      </c>
      <c r="I1" s="140" t="s">
        <v>65</v>
      </c>
      <c r="J1" s="141"/>
      <c r="K1" s="56"/>
      <c r="L1" s="54"/>
      <c r="M1" s="54"/>
      <c r="N1" s="54"/>
    </row>
    <row r="2" spans="1:14">
      <c r="A2" s="136"/>
      <c r="B2" s="136"/>
      <c r="C2" s="136"/>
      <c r="D2" s="136"/>
      <c r="E2" s="139"/>
      <c r="F2" s="136"/>
      <c r="G2" s="137"/>
      <c r="H2" s="137"/>
      <c r="I2" s="142"/>
      <c r="J2" s="143"/>
      <c r="K2" s="56"/>
      <c r="L2" s="54"/>
      <c r="M2" s="54"/>
      <c r="N2" s="54"/>
    </row>
    <row r="3" spans="1:14">
      <c r="A3" s="136"/>
      <c r="B3" s="136"/>
      <c r="C3" s="136"/>
      <c r="D3" s="136"/>
      <c r="E3" s="90" t="s">
        <v>66</v>
      </c>
      <c r="F3" s="92" t="s">
        <v>67</v>
      </c>
      <c r="G3" s="93" t="s">
        <v>67</v>
      </c>
      <c r="H3" s="93" t="s">
        <v>11</v>
      </c>
      <c r="I3" s="91" t="s">
        <v>68</v>
      </c>
      <c r="J3" s="91" t="s">
        <v>67</v>
      </c>
      <c r="K3" s="55"/>
      <c r="L3" s="55"/>
      <c r="M3" s="55"/>
      <c r="N3" s="55"/>
    </row>
    <row r="4" spans="1:14" ht="31.5" customHeight="1">
      <c r="A4" s="44">
        <v>1</v>
      </c>
      <c r="B4" s="45" t="s">
        <v>69</v>
      </c>
      <c r="C4" s="45" t="s">
        <v>70</v>
      </c>
      <c r="D4" s="44" t="s">
        <v>68</v>
      </c>
      <c r="E4" s="44">
        <v>253</v>
      </c>
      <c r="F4" s="46">
        <v>3</v>
      </c>
      <c r="G4" s="49">
        <f>E4*F4</f>
        <v>759</v>
      </c>
      <c r="H4" s="51">
        <v>283</v>
      </c>
      <c r="I4" s="52">
        <f>E4-H4</f>
        <v>-30</v>
      </c>
      <c r="J4" s="53">
        <f>I4*F4</f>
        <v>-90</v>
      </c>
    </row>
    <row r="5" spans="1:14" ht="28.5" customHeight="1">
      <c r="A5" s="44">
        <v>2</v>
      </c>
      <c r="B5" s="45" t="s">
        <v>71</v>
      </c>
      <c r="C5" s="45" t="s">
        <v>72</v>
      </c>
      <c r="D5" s="44" t="s">
        <v>68</v>
      </c>
      <c r="E5" s="44">
        <v>170</v>
      </c>
      <c r="F5" s="46">
        <v>3</v>
      </c>
      <c r="G5" s="49">
        <f t="shared" ref="G5:G11" si="0">E5*F5</f>
        <v>510</v>
      </c>
      <c r="H5" s="51">
        <v>170</v>
      </c>
      <c r="I5" s="52">
        <f t="shared" ref="I5:I11" si="1">E5-H5</f>
        <v>0</v>
      </c>
      <c r="J5" s="53">
        <f t="shared" ref="J5:J11" si="2">I5*F5</f>
        <v>0</v>
      </c>
    </row>
    <row r="6" spans="1:14" ht="29.25" customHeight="1">
      <c r="A6" s="44">
        <v>3</v>
      </c>
      <c r="B6" s="45" t="s">
        <v>73</v>
      </c>
      <c r="C6" s="45" t="s">
        <v>74</v>
      </c>
      <c r="D6" s="44" t="s">
        <v>68</v>
      </c>
      <c r="E6" s="44">
        <v>112</v>
      </c>
      <c r="F6" s="46">
        <v>3</v>
      </c>
      <c r="G6" s="49">
        <f t="shared" si="0"/>
        <v>336</v>
      </c>
      <c r="H6" s="51">
        <v>82</v>
      </c>
      <c r="I6" s="52">
        <f t="shared" si="1"/>
        <v>30</v>
      </c>
      <c r="J6" s="53">
        <f t="shared" si="2"/>
        <v>90</v>
      </c>
    </row>
    <row r="7" spans="1:14" ht="34.5" customHeight="1">
      <c r="A7" s="44">
        <v>4</v>
      </c>
      <c r="B7" s="45" t="s">
        <v>75</v>
      </c>
      <c r="C7" s="45" t="s">
        <v>76</v>
      </c>
      <c r="D7" s="44" t="s">
        <v>68</v>
      </c>
      <c r="E7" s="44">
        <v>341</v>
      </c>
      <c r="F7" s="46">
        <v>2.5</v>
      </c>
      <c r="G7" s="49">
        <f t="shared" si="0"/>
        <v>852.5</v>
      </c>
      <c r="H7" s="51">
        <v>341</v>
      </c>
      <c r="I7" s="52">
        <f t="shared" si="1"/>
        <v>0</v>
      </c>
      <c r="J7" s="53">
        <f t="shared" si="2"/>
        <v>0</v>
      </c>
    </row>
    <row r="8" spans="1:14" ht="23.25" customHeight="1">
      <c r="A8" s="44">
        <v>5</v>
      </c>
      <c r="B8" s="45" t="s">
        <v>77</v>
      </c>
      <c r="C8" s="45" t="s">
        <v>78</v>
      </c>
      <c r="D8" s="44" t="s">
        <v>68</v>
      </c>
      <c r="E8" s="44">
        <v>185</v>
      </c>
      <c r="F8" s="46">
        <v>2.5</v>
      </c>
      <c r="G8" s="49">
        <f t="shared" si="0"/>
        <v>462.5</v>
      </c>
      <c r="H8" s="51">
        <v>185</v>
      </c>
      <c r="I8" s="52">
        <f t="shared" si="1"/>
        <v>0</v>
      </c>
      <c r="J8" s="53">
        <f t="shared" si="2"/>
        <v>0</v>
      </c>
    </row>
    <row r="9" spans="1:14" ht="28.5" customHeight="1">
      <c r="A9" s="44">
        <v>6</v>
      </c>
      <c r="B9" s="45" t="s">
        <v>79</v>
      </c>
      <c r="C9" s="45" t="s">
        <v>80</v>
      </c>
      <c r="D9" s="44" t="s">
        <v>68</v>
      </c>
      <c r="E9" s="44">
        <v>300</v>
      </c>
      <c r="F9" s="46">
        <v>1</v>
      </c>
      <c r="G9" s="49">
        <f t="shared" si="0"/>
        <v>300</v>
      </c>
      <c r="H9" s="51">
        <v>295</v>
      </c>
      <c r="I9" s="52">
        <f t="shared" si="1"/>
        <v>5</v>
      </c>
      <c r="J9" s="53">
        <f t="shared" si="2"/>
        <v>5</v>
      </c>
    </row>
    <row r="10" spans="1:14" ht="21.75" customHeight="1">
      <c r="A10" s="44">
        <v>7</v>
      </c>
      <c r="B10" s="45" t="s">
        <v>81</v>
      </c>
      <c r="C10" s="45" t="s">
        <v>82</v>
      </c>
      <c r="D10" s="44" t="s">
        <v>68</v>
      </c>
      <c r="E10" s="44">
        <v>75</v>
      </c>
      <c r="F10" s="46">
        <v>3.5</v>
      </c>
      <c r="G10" s="49">
        <f t="shared" si="0"/>
        <v>262.5</v>
      </c>
      <c r="H10" s="51">
        <v>82</v>
      </c>
      <c r="I10" s="52">
        <f t="shared" si="1"/>
        <v>-7</v>
      </c>
      <c r="J10" s="53">
        <f t="shared" si="2"/>
        <v>-24.5</v>
      </c>
    </row>
    <row r="11" spans="1:14" ht="41.25" customHeight="1">
      <c r="A11" s="44">
        <v>8</v>
      </c>
      <c r="B11" s="45" t="s">
        <v>83</v>
      </c>
      <c r="C11" s="44" t="s">
        <v>84</v>
      </c>
      <c r="D11" s="44" t="s">
        <v>68</v>
      </c>
      <c r="E11" s="44">
        <v>60</v>
      </c>
      <c r="F11" s="46">
        <v>4</v>
      </c>
      <c r="G11" s="49">
        <f t="shared" si="0"/>
        <v>240</v>
      </c>
      <c r="H11" s="51">
        <v>100</v>
      </c>
      <c r="I11" s="52">
        <f t="shared" si="1"/>
        <v>-40</v>
      </c>
      <c r="J11" s="53">
        <f t="shared" si="2"/>
        <v>-160</v>
      </c>
    </row>
    <row r="12" spans="1:14" ht="28.5" customHeight="1">
      <c r="A12" s="44">
        <v>9</v>
      </c>
      <c r="B12" s="47"/>
      <c r="C12" s="47"/>
      <c r="D12" s="47"/>
      <c r="E12" s="47"/>
      <c r="F12" s="47"/>
      <c r="G12" s="50"/>
      <c r="H12" s="51"/>
      <c r="I12" s="42"/>
      <c r="J12" s="42"/>
    </row>
    <row r="13" spans="1:14" ht="24.75" customHeight="1">
      <c r="A13" s="44">
        <v>10</v>
      </c>
      <c r="B13" s="47"/>
      <c r="C13" s="47"/>
      <c r="D13" s="47"/>
      <c r="E13" s="47"/>
      <c r="F13" s="47"/>
      <c r="G13" s="50"/>
      <c r="H13" s="51"/>
      <c r="I13" s="42"/>
      <c r="J13" s="42"/>
    </row>
    <row r="14" spans="1:14" ht="15.75">
      <c r="A14" s="135" t="s">
        <v>37</v>
      </c>
      <c r="B14" s="135"/>
      <c r="C14" s="135"/>
      <c r="D14" s="135"/>
      <c r="E14" s="59">
        <f>SUM(E4:E11)</f>
        <v>1496</v>
      </c>
      <c r="F14" s="48"/>
      <c r="G14" s="60">
        <f>SUM(G4:G11)</f>
        <v>3722.5</v>
      </c>
      <c r="H14" s="93">
        <f>SUM(H4:H11)</f>
        <v>1538</v>
      </c>
      <c r="I14" s="43"/>
      <c r="J14" s="43"/>
    </row>
    <row r="18" spans="1:16">
      <c r="A18" s="136" t="s">
        <v>57</v>
      </c>
      <c r="B18" s="136" t="s">
        <v>58</v>
      </c>
      <c r="C18" s="136" t="s">
        <v>59</v>
      </c>
      <c r="D18" s="136" t="s">
        <v>60</v>
      </c>
      <c r="E18" s="138" t="s">
        <v>61</v>
      </c>
      <c r="F18" s="136" t="s">
        <v>62</v>
      </c>
      <c r="G18" s="137" t="s">
        <v>63</v>
      </c>
      <c r="H18" s="137" t="s">
        <v>64</v>
      </c>
      <c r="I18" s="140" t="s">
        <v>85</v>
      </c>
      <c r="J18" s="141"/>
      <c r="K18" s="136" t="s">
        <v>86</v>
      </c>
      <c r="L18" s="137"/>
      <c r="M18" s="144" t="s">
        <v>87</v>
      </c>
      <c r="N18" s="144"/>
      <c r="O18" s="144"/>
      <c r="P18" s="144"/>
    </row>
    <row r="19" spans="1:16">
      <c r="A19" s="136"/>
      <c r="B19" s="136"/>
      <c r="C19" s="136"/>
      <c r="D19" s="136"/>
      <c r="E19" s="139"/>
      <c r="F19" s="136"/>
      <c r="G19" s="137"/>
      <c r="H19" s="137"/>
      <c r="I19" s="142"/>
      <c r="J19" s="143"/>
      <c r="K19" s="136"/>
      <c r="L19" s="137"/>
      <c r="M19" s="144"/>
      <c r="N19" s="144"/>
      <c r="O19" s="144"/>
      <c r="P19" s="144"/>
    </row>
    <row r="20" spans="1:16">
      <c r="A20" s="136"/>
      <c r="B20" s="136"/>
      <c r="C20" s="136"/>
      <c r="D20" s="136"/>
      <c r="E20" s="90" t="s">
        <v>66</v>
      </c>
      <c r="F20" s="92" t="s">
        <v>67</v>
      </c>
      <c r="G20" s="93" t="s">
        <v>67</v>
      </c>
      <c r="H20" s="93" t="s">
        <v>11</v>
      </c>
      <c r="I20" s="91" t="s">
        <v>68</v>
      </c>
      <c r="J20" s="91" t="s">
        <v>67</v>
      </c>
      <c r="K20" s="92" t="s">
        <v>68</v>
      </c>
      <c r="L20" s="61" t="s">
        <v>67</v>
      </c>
      <c r="M20" s="145" t="s">
        <v>88</v>
      </c>
      <c r="N20" s="145"/>
      <c r="O20" s="145" t="s">
        <v>89</v>
      </c>
      <c r="P20" s="145"/>
    </row>
    <row r="21" spans="1:16" ht="31.5">
      <c r="A21" s="44">
        <v>1</v>
      </c>
      <c r="B21" s="45" t="s">
        <v>69</v>
      </c>
      <c r="C21" s="45" t="s">
        <v>70</v>
      </c>
      <c r="D21" s="44" t="s">
        <v>68</v>
      </c>
      <c r="E21" s="44">
        <v>253</v>
      </c>
      <c r="F21" s="46">
        <v>3</v>
      </c>
      <c r="G21" s="49">
        <f>E21*F21</f>
        <v>759</v>
      </c>
      <c r="H21" s="51">
        <v>283</v>
      </c>
      <c r="I21" s="57">
        <f>IF(E21-H21&lt;0,E21-H21,0)</f>
        <v>-30</v>
      </c>
      <c r="J21" s="57">
        <f>IF(I21&lt;0,I21*F21,0)</f>
        <v>-90</v>
      </c>
      <c r="K21" s="94">
        <f>IF(E21-H21&gt;0,E21-H21,0)</f>
        <v>0</v>
      </c>
      <c r="L21" s="62">
        <f>IF(K21&gt;0,K21*F21,0)</f>
        <v>0</v>
      </c>
      <c r="M21" s="63">
        <f>(E21/$E$31)</f>
        <v>0.16911764705882354</v>
      </c>
      <c r="N21" s="63"/>
      <c r="O21" s="63">
        <f>(G21/$G$31)</f>
        <v>0.20389523169912693</v>
      </c>
      <c r="P21" s="63"/>
    </row>
    <row r="22" spans="1:16" ht="15.75">
      <c r="A22" s="44">
        <v>2</v>
      </c>
      <c r="B22" s="45" t="s">
        <v>71</v>
      </c>
      <c r="C22" s="45" t="s">
        <v>72</v>
      </c>
      <c r="D22" s="44" t="s">
        <v>68</v>
      </c>
      <c r="E22" s="44">
        <v>170</v>
      </c>
      <c r="F22" s="46">
        <v>3</v>
      </c>
      <c r="G22" s="49">
        <f t="shared" ref="G22:G28" si="3">E22*F22</f>
        <v>510</v>
      </c>
      <c r="H22" s="51">
        <v>170</v>
      </c>
      <c r="I22" s="57">
        <f t="shared" ref="I22:I30" si="4">IF(E22-H22&lt;0,E22-H22,0)</f>
        <v>0</v>
      </c>
      <c r="J22" s="57">
        <f t="shared" ref="J22:J30" si="5">IF(I22&lt;0,I22*F22,0)</f>
        <v>0</v>
      </c>
      <c r="K22" s="94">
        <f t="shared" ref="K22:K30" si="6">IF(E22-H22&gt;0,E22-H22,0)</f>
        <v>0</v>
      </c>
      <c r="L22" s="62">
        <f t="shared" ref="L22:L30" si="7">IF(K22&gt;0,K22*F22,0)</f>
        <v>0</v>
      </c>
      <c r="M22" s="63">
        <f t="shared" ref="M22:M31" si="8">(E22/$E$31)</f>
        <v>0.11363636363636363</v>
      </c>
      <c r="N22" s="63"/>
      <c r="O22" s="63">
        <f t="shared" ref="O22:O31" si="9">(G22/$G$31)</f>
        <v>0.13700470114170585</v>
      </c>
      <c r="P22" s="63"/>
    </row>
    <row r="23" spans="1:16" ht="15.75">
      <c r="A23" s="44">
        <v>3</v>
      </c>
      <c r="B23" s="45" t="s">
        <v>73</v>
      </c>
      <c r="C23" s="45" t="s">
        <v>74</v>
      </c>
      <c r="D23" s="44" t="s">
        <v>68</v>
      </c>
      <c r="E23" s="44">
        <v>112</v>
      </c>
      <c r="F23" s="46">
        <v>3</v>
      </c>
      <c r="G23" s="49">
        <f t="shared" si="3"/>
        <v>336</v>
      </c>
      <c r="H23" s="51">
        <v>82</v>
      </c>
      <c r="I23" s="57">
        <f t="shared" si="4"/>
        <v>0</v>
      </c>
      <c r="J23" s="57">
        <f t="shared" si="5"/>
        <v>0</v>
      </c>
      <c r="K23" s="94">
        <f t="shared" si="6"/>
        <v>30</v>
      </c>
      <c r="L23" s="62">
        <f t="shared" si="7"/>
        <v>90</v>
      </c>
      <c r="M23" s="63">
        <f t="shared" si="8"/>
        <v>7.4866310160427801E-2</v>
      </c>
      <c r="N23" s="63"/>
      <c r="O23" s="63">
        <f t="shared" si="9"/>
        <v>9.0261920752182673E-2</v>
      </c>
      <c r="P23" s="63"/>
    </row>
    <row r="24" spans="1:16" ht="31.5">
      <c r="A24" s="44">
        <v>4</v>
      </c>
      <c r="B24" s="45" t="s">
        <v>75</v>
      </c>
      <c r="C24" s="45" t="s">
        <v>76</v>
      </c>
      <c r="D24" s="44" t="s">
        <v>68</v>
      </c>
      <c r="E24" s="44">
        <v>341</v>
      </c>
      <c r="F24" s="46">
        <v>2.5</v>
      </c>
      <c r="G24" s="49">
        <f t="shared" si="3"/>
        <v>852.5</v>
      </c>
      <c r="H24" s="51">
        <v>341</v>
      </c>
      <c r="I24" s="57">
        <f t="shared" si="4"/>
        <v>0</v>
      </c>
      <c r="J24" s="57">
        <f t="shared" si="5"/>
        <v>0</v>
      </c>
      <c r="K24" s="94">
        <f t="shared" si="6"/>
        <v>0</v>
      </c>
      <c r="L24" s="62">
        <f t="shared" si="7"/>
        <v>0</v>
      </c>
      <c r="M24" s="63">
        <f t="shared" si="8"/>
        <v>0.22794117647058823</v>
      </c>
      <c r="N24" s="63"/>
      <c r="O24" s="63">
        <f t="shared" si="9"/>
        <v>0.229012760241773</v>
      </c>
      <c r="P24" s="63"/>
    </row>
    <row r="25" spans="1:16" ht="15.75">
      <c r="A25" s="44">
        <v>5</v>
      </c>
      <c r="B25" s="45" t="s">
        <v>77</v>
      </c>
      <c r="C25" s="45" t="s">
        <v>78</v>
      </c>
      <c r="D25" s="44" t="s">
        <v>68</v>
      </c>
      <c r="E25" s="44">
        <v>185</v>
      </c>
      <c r="F25" s="46">
        <v>2.5</v>
      </c>
      <c r="G25" s="49">
        <f t="shared" si="3"/>
        <v>462.5</v>
      </c>
      <c r="H25" s="51">
        <v>185</v>
      </c>
      <c r="I25" s="57">
        <f t="shared" si="4"/>
        <v>0</v>
      </c>
      <c r="J25" s="57">
        <f t="shared" si="5"/>
        <v>0</v>
      </c>
      <c r="K25" s="94">
        <f t="shared" si="6"/>
        <v>0</v>
      </c>
      <c r="L25" s="62">
        <f t="shared" si="7"/>
        <v>0</v>
      </c>
      <c r="M25" s="63">
        <f t="shared" si="8"/>
        <v>0.12366310160427807</v>
      </c>
      <c r="N25" s="63"/>
      <c r="O25" s="63">
        <f t="shared" si="9"/>
        <v>0.12424445936870383</v>
      </c>
      <c r="P25" s="63"/>
    </row>
    <row r="26" spans="1:16" ht="15.75">
      <c r="A26" s="44">
        <v>6</v>
      </c>
      <c r="B26" s="45" t="s">
        <v>79</v>
      </c>
      <c r="C26" s="45" t="s">
        <v>80</v>
      </c>
      <c r="D26" s="44" t="s">
        <v>68</v>
      </c>
      <c r="E26" s="44">
        <v>300</v>
      </c>
      <c r="F26" s="46">
        <v>1</v>
      </c>
      <c r="G26" s="49">
        <f t="shared" si="3"/>
        <v>300</v>
      </c>
      <c r="H26" s="51">
        <v>295</v>
      </c>
      <c r="I26" s="57">
        <f t="shared" si="4"/>
        <v>0</v>
      </c>
      <c r="J26" s="57">
        <f t="shared" si="5"/>
        <v>0</v>
      </c>
      <c r="K26" s="94">
        <f t="shared" si="6"/>
        <v>5</v>
      </c>
      <c r="L26" s="62">
        <f t="shared" si="7"/>
        <v>5</v>
      </c>
      <c r="M26" s="63">
        <f t="shared" si="8"/>
        <v>0.20053475935828877</v>
      </c>
      <c r="N26" s="63"/>
      <c r="O26" s="63">
        <f t="shared" si="9"/>
        <v>8.0591000671591667E-2</v>
      </c>
      <c r="P26" s="63"/>
    </row>
    <row r="27" spans="1:16" ht="15.75">
      <c r="A27" s="44">
        <v>7</v>
      </c>
      <c r="B27" s="45" t="s">
        <v>81</v>
      </c>
      <c r="C27" s="45" t="s">
        <v>82</v>
      </c>
      <c r="D27" s="44" t="s">
        <v>68</v>
      </c>
      <c r="E27" s="44">
        <v>75</v>
      </c>
      <c r="F27" s="46">
        <v>3.5</v>
      </c>
      <c r="G27" s="49">
        <f t="shared" si="3"/>
        <v>262.5</v>
      </c>
      <c r="H27" s="51">
        <v>82</v>
      </c>
      <c r="I27" s="57">
        <f t="shared" si="4"/>
        <v>-7</v>
      </c>
      <c r="J27" s="57">
        <f t="shared" si="5"/>
        <v>-24.5</v>
      </c>
      <c r="K27" s="94">
        <f t="shared" si="6"/>
        <v>0</v>
      </c>
      <c r="L27" s="62">
        <f t="shared" si="7"/>
        <v>0</v>
      </c>
      <c r="M27" s="63">
        <f t="shared" si="8"/>
        <v>5.0133689839572192E-2</v>
      </c>
      <c r="N27" s="63"/>
      <c r="O27" s="63">
        <f t="shared" si="9"/>
        <v>7.0517125587642712E-2</v>
      </c>
      <c r="P27" s="63"/>
    </row>
    <row r="28" spans="1:16" ht="15.75">
      <c r="A28" s="44">
        <v>8</v>
      </c>
      <c r="B28" s="45" t="s">
        <v>83</v>
      </c>
      <c r="C28" s="44" t="s">
        <v>84</v>
      </c>
      <c r="D28" s="44" t="s">
        <v>68</v>
      </c>
      <c r="E28" s="44">
        <v>60</v>
      </c>
      <c r="F28" s="46">
        <v>4</v>
      </c>
      <c r="G28" s="49">
        <f t="shared" si="3"/>
        <v>240</v>
      </c>
      <c r="H28" s="51">
        <v>100</v>
      </c>
      <c r="I28" s="57">
        <f t="shared" si="4"/>
        <v>-40</v>
      </c>
      <c r="J28" s="57">
        <f t="shared" si="5"/>
        <v>-160</v>
      </c>
      <c r="K28" s="94">
        <f t="shared" si="6"/>
        <v>0</v>
      </c>
      <c r="L28" s="62">
        <f t="shared" si="7"/>
        <v>0</v>
      </c>
      <c r="M28" s="63">
        <f t="shared" si="8"/>
        <v>4.0106951871657755E-2</v>
      </c>
      <c r="N28" s="63"/>
      <c r="O28" s="63">
        <f t="shared" si="9"/>
        <v>6.4472800537273334E-2</v>
      </c>
      <c r="P28" s="63"/>
    </row>
    <row r="29" spans="1:16" ht="15.75">
      <c r="A29" s="44">
        <v>9</v>
      </c>
      <c r="B29" s="47"/>
      <c r="C29" s="47"/>
      <c r="D29" s="47"/>
      <c r="E29" s="47"/>
      <c r="F29" s="47"/>
      <c r="G29" s="50"/>
      <c r="H29" s="51"/>
      <c r="I29" s="57">
        <f t="shared" si="4"/>
        <v>0</v>
      </c>
      <c r="J29" s="57">
        <f t="shared" si="5"/>
        <v>0</v>
      </c>
      <c r="K29" s="94">
        <f t="shared" si="6"/>
        <v>0</v>
      </c>
      <c r="L29" s="62">
        <f t="shared" si="7"/>
        <v>0</v>
      </c>
      <c r="M29" s="146"/>
      <c r="N29" s="146"/>
      <c r="O29" s="146"/>
      <c r="P29" s="146"/>
    </row>
    <row r="30" spans="1:16" ht="15.75">
      <c r="A30" s="44">
        <v>10</v>
      </c>
      <c r="B30" s="47"/>
      <c r="C30" s="47"/>
      <c r="D30" s="47"/>
      <c r="E30" s="47"/>
      <c r="F30" s="47"/>
      <c r="G30" s="50"/>
      <c r="H30" s="51"/>
      <c r="I30" s="57">
        <f t="shared" si="4"/>
        <v>0</v>
      </c>
      <c r="J30" s="57">
        <f t="shared" si="5"/>
        <v>0</v>
      </c>
      <c r="K30" s="94">
        <f t="shared" si="6"/>
        <v>0</v>
      </c>
      <c r="L30" s="62">
        <f t="shared" si="7"/>
        <v>0</v>
      </c>
      <c r="M30" s="146"/>
      <c r="N30" s="146"/>
      <c r="O30" s="146"/>
      <c r="P30" s="146"/>
    </row>
    <row r="31" spans="1:16" ht="15.75">
      <c r="A31" s="135" t="s">
        <v>37</v>
      </c>
      <c r="B31" s="135"/>
      <c r="C31" s="135"/>
      <c r="D31" s="135"/>
      <c r="E31" s="59">
        <f>SUM(E21:E28)</f>
        <v>1496</v>
      </c>
      <c r="F31" s="48"/>
      <c r="G31" s="60">
        <f>SUM(G21:G28)</f>
        <v>3722.5</v>
      </c>
      <c r="H31" s="93">
        <f>SUM(H21:H28)</f>
        <v>1538</v>
      </c>
      <c r="I31" s="57">
        <f>SUM(I21:I28)</f>
        <v>-77</v>
      </c>
      <c r="J31" s="58">
        <f>SUM(J21:J28)</f>
        <v>-274.5</v>
      </c>
      <c r="K31" s="94">
        <f>SUM(K21:K30)</f>
        <v>35</v>
      </c>
      <c r="L31" s="62">
        <f>SUM(L21:L30)</f>
        <v>95</v>
      </c>
      <c r="M31" s="147">
        <f t="shared" si="8"/>
        <v>1</v>
      </c>
      <c r="N31" s="147"/>
      <c r="O31" s="147">
        <f t="shared" si="9"/>
        <v>1</v>
      </c>
      <c r="P31" s="147"/>
    </row>
  </sheetData>
  <mergeCells count="30">
    <mergeCell ref="M30:N30"/>
    <mergeCell ref="M31:N31"/>
    <mergeCell ref="O29:P29"/>
    <mergeCell ref="O30:P30"/>
    <mergeCell ref="O31:P31"/>
    <mergeCell ref="M29:N29"/>
    <mergeCell ref="M18:P19"/>
    <mergeCell ref="M20:N20"/>
    <mergeCell ref="O20:P20"/>
    <mergeCell ref="I1:J2"/>
    <mergeCell ref="A14:D14"/>
    <mergeCell ref="F1:F2"/>
    <mergeCell ref="G1:G2"/>
    <mergeCell ref="E1:E2"/>
    <mergeCell ref="H1:H2"/>
    <mergeCell ref="A1:A3"/>
    <mergeCell ref="B1:B3"/>
    <mergeCell ref="C1:C3"/>
    <mergeCell ref="D1:D3"/>
    <mergeCell ref="A31:D31"/>
    <mergeCell ref="K18:L19"/>
    <mergeCell ref="A18:A20"/>
    <mergeCell ref="B18:B20"/>
    <mergeCell ref="C18:C20"/>
    <mergeCell ref="D18:D20"/>
    <mergeCell ref="E18:E19"/>
    <mergeCell ref="F18:F19"/>
    <mergeCell ref="G18:G19"/>
    <mergeCell ref="H18:H19"/>
    <mergeCell ref="I18:J19"/>
  </mergeCells>
  <conditionalFormatting sqref="I21:J30">
    <cfRule type="cellIs" dxfId="6" priority="7" operator="greaterThan">
      <formula>0</formula>
    </cfRule>
  </conditionalFormatting>
  <conditionalFormatting sqref="I21:J30">
    <cfRule type="cellIs" dxfId="5" priority="6" operator="greaterThan">
      <formula>0</formula>
    </cfRule>
  </conditionalFormatting>
  <conditionalFormatting sqref="K21:L30">
    <cfRule type="cellIs" dxfId="4" priority="5" operator="greaterThan">
      <formula>0</formula>
    </cfRule>
  </conditionalFormatting>
  <conditionalFormatting sqref="K21:L30">
    <cfRule type="cellIs" dxfId="3" priority="4" operator="greaterThan">
      <formula>0</formula>
    </cfRule>
  </conditionalFormatting>
  <conditionalFormatting sqref="I21:J30">
    <cfRule type="cellIs" dxfId="2" priority="3" operator="lessThan">
      <formula>0</formula>
    </cfRule>
  </conditionalFormatting>
  <conditionalFormatting sqref="K21:L31">
    <cfRule type="cellIs" dxfId="1" priority="2" operator="greaterThan">
      <formula>0</formula>
    </cfRule>
  </conditionalFormatting>
  <conditionalFormatting sqref="I21:J31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0C498-2E3A-4F02-8AC0-7E31BF12D34F}">
  <dimension ref="A1:E13"/>
  <sheetViews>
    <sheetView workbookViewId="0">
      <selection activeCell="M3" sqref="M3"/>
    </sheetView>
  </sheetViews>
  <sheetFormatPr defaultRowHeight="15"/>
  <cols>
    <col min="1" max="1" width="28.7109375" customWidth="1"/>
    <col min="2" max="2" width="14.140625" customWidth="1"/>
    <col min="3" max="3" width="14.42578125" customWidth="1"/>
    <col min="4" max="4" width="13.140625" customWidth="1"/>
    <col min="5" max="5" width="13.28515625" customWidth="1"/>
  </cols>
  <sheetData>
    <row r="1" spans="1:5" ht="30" customHeight="1">
      <c r="A1" s="148" t="s">
        <v>90</v>
      </c>
      <c r="B1" s="148"/>
      <c r="C1" s="148"/>
      <c r="D1" s="148"/>
      <c r="E1" s="148"/>
    </row>
    <row r="2" spans="1:5" ht="27" customHeight="1">
      <c r="A2" s="95" t="s">
        <v>91</v>
      </c>
      <c r="B2" s="95" t="s">
        <v>92</v>
      </c>
      <c r="C2" s="95" t="s">
        <v>93</v>
      </c>
      <c r="D2" s="95" t="s">
        <v>94</v>
      </c>
      <c r="E2" s="95" t="s">
        <v>95</v>
      </c>
    </row>
    <row r="3" spans="1:5" ht="26.25" customHeight="1">
      <c r="A3" s="94" t="s">
        <v>96</v>
      </c>
      <c r="B3" s="66">
        <v>75000</v>
      </c>
      <c r="C3" s="66">
        <v>70000</v>
      </c>
      <c r="D3" s="66">
        <v>60000</v>
      </c>
      <c r="E3" s="66">
        <v>52000</v>
      </c>
    </row>
    <row r="4" spans="1:5" ht="20.25" customHeight="1">
      <c r="A4" s="94" t="s">
        <v>97</v>
      </c>
      <c r="B4" s="66">
        <v>50000</v>
      </c>
      <c r="C4" s="66">
        <v>50000</v>
      </c>
      <c r="D4" s="66">
        <v>50000</v>
      </c>
      <c r="E4" s="66">
        <v>50000</v>
      </c>
    </row>
    <row r="5" spans="1:5" ht="21.75" customHeight="1">
      <c r="A5" s="94" t="s">
        <v>98</v>
      </c>
      <c r="B5" s="66">
        <f>B3-B4</f>
        <v>25000</v>
      </c>
      <c r="C5" s="66">
        <f>C3-C4</f>
        <v>20000</v>
      </c>
      <c r="D5" s="66">
        <f>D3-D4</f>
        <v>10000</v>
      </c>
      <c r="E5" s="66">
        <f>E3-E4</f>
        <v>2000</v>
      </c>
    </row>
    <row r="6" spans="1:5" ht="24" customHeight="1">
      <c r="A6" s="94" t="s">
        <v>99</v>
      </c>
      <c r="B6" s="67"/>
      <c r="C6" s="67"/>
      <c r="D6" s="67"/>
      <c r="E6" s="67"/>
    </row>
    <row r="7" spans="1:5" ht="27" customHeight="1">
      <c r="A7" s="94" t="s">
        <v>98</v>
      </c>
      <c r="B7" s="89">
        <f>(B5/B3)*100%</f>
        <v>0.33333333333333331</v>
      </c>
      <c r="C7" s="89">
        <f>(C5/C3)*100%</f>
        <v>0.2857142857142857</v>
      </c>
      <c r="D7" s="89">
        <f>(D5/D3)*100%</f>
        <v>0.16666666666666666</v>
      </c>
      <c r="E7" s="89">
        <f>(E5/E3)*100%</f>
        <v>3.8461538461538464E-2</v>
      </c>
    </row>
    <row r="10" spans="1:5" ht="24" customHeight="1">
      <c r="A10" s="149" t="s">
        <v>100</v>
      </c>
      <c r="B10" s="149"/>
      <c r="C10" s="149"/>
      <c r="D10" s="149"/>
      <c r="E10" s="149"/>
    </row>
    <row r="11" spans="1:5" ht="27" customHeight="1">
      <c r="A11" s="42"/>
      <c r="B11" s="94" t="s">
        <v>101</v>
      </c>
      <c r="C11" s="94" t="s">
        <v>102</v>
      </c>
      <c r="D11" s="94" t="s">
        <v>103</v>
      </c>
      <c r="E11" s="94" t="s">
        <v>104</v>
      </c>
    </row>
    <row r="12" spans="1:5" ht="24.75" customHeight="1">
      <c r="A12" s="42" t="s">
        <v>105</v>
      </c>
      <c r="B12" s="65">
        <f>(B5/B3)*100%</f>
        <v>0.33333333333333331</v>
      </c>
      <c r="C12" s="42">
        <f>(C5/C3)*100%</f>
        <v>0.2857142857142857</v>
      </c>
      <c r="D12" s="65">
        <f>(D5/D3)*100%</f>
        <v>0.16666666666666666</v>
      </c>
      <c r="E12" s="65">
        <f>(E5/E3)*100%</f>
        <v>3.8461538461538464E-2</v>
      </c>
    </row>
    <row r="13" spans="1:5" ht="30" customHeight="1">
      <c r="A13" s="42" t="s">
        <v>106</v>
      </c>
      <c r="B13" s="64"/>
      <c r="C13" s="68">
        <f>(C12/B12)*100</f>
        <v>85.714285714285708</v>
      </c>
      <c r="D13" s="68">
        <f>(D12/C12)*100</f>
        <v>58.333333333333336</v>
      </c>
      <c r="E13" s="68">
        <f>(E12/D12)*100</f>
        <v>23.076923076923077</v>
      </c>
    </row>
  </sheetData>
  <mergeCells count="2">
    <mergeCell ref="A1:E1"/>
    <mergeCell ref="A10:E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ferenceId xmlns="27eec731-cf33-4b12-ae13-a6328591784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EE6E9EC6D5FD428B82F94C9D7B84DC" ma:contentTypeVersion="11" ma:contentTypeDescription="Utwórz nowy dokument." ma:contentTypeScope="" ma:versionID="701390921d6f540adfbb2dd08ca528c5">
  <xsd:schema xmlns:xsd="http://www.w3.org/2001/XMLSchema" xmlns:xs="http://www.w3.org/2001/XMLSchema" xmlns:p="http://schemas.microsoft.com/office/2006/metadata/properties" xmlns:ns2="27eec731-cf33-4b12-ae13-a63285917840" targetNamespace="http://schemas.microsoft.com/office/2006/metadata/properties" ma:root="true" ma:fieldsID="c74e0a952eb0a6a5f5d8174c0642aedb" ns2:_="">
    <xsd:import namespace="27eec731-cf33-4b12-ae13-a63285917840"/>
    <xsd:element name="properties">
      <xsd:complexType>
        <xsd:sequence>
          <xsd:element name="documentManagement">
            <xsd:complexType>
              <xsd:all>
                <xsd:element ref="ns2:ReferenceI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ec731-cf33-4b12-ae13-a63285917840" elementFormDefault="qualified">
    <xsd:import namespace="http://schemas.microsoft.com/office/2006/documentManagement/types"/>
    <xsd:import namespace="http://schemas.microsoft.com/office/infopath/2007/PartnerControls"/>
    <xsd:element name="ReferenceId" ma:index="8" nillable="true" ma:displayName="ReferenceId" ma:indexed="true" ma:internalName="ReferenceId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114EFF-2A67-429C-8CB1-2F850C096FCD}"/>
</file>

<file path=customXml/itemProps2.xml><?xml version="1.0" encoding="utf-8"?>
<ds:datastoreItem xmlns:ds="http://schemas.openxmlformats.org/officeDocument/2006/customXml" ds:itemID="{4FA944F3-1472-44FC-B848-EE3DAB29DAE1}"/>
</file>

<file path=customXml/itemProps3.xml><?xml version="1.0" encoding="utf-8"?>
<ds:datastoreItem xmlns:ds="http://schemas.openxmlformats.org/officeDocument/2006/customXml" ds:itemID="{0C3CA945-CA33-423D-A1E6-5FBB9480D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2020-11-25T16:18:51Z</dcterms:created>
  <dcterms:modified xsi:type="dcterms:W3CDTF">2021-02-09T15:00:26Z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0x0101009CEE6E9EC6D5FD428B82F94C9D7B84DC</vt:lpwstr>
  </property>
  <property fmtid="{D5CDD505-2E9C-101B-9397-08002B2CF9AE}" pid="3" name="Order">
    <vt:r8>6800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